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tabRatio="500" activeTab="1"/>
  </bookViews>
  <sheets>
    <sheet name="Planilha RESUMO" sheetId="1" r:id="rId1"/>
    <sheet name="Planilha_Orçamentária_Modelo" sheetId="2" r:id="rId2"/>
    <sheet name="PREÇOS DE MERCADO" sheetId="3" r:id="rId3"/>
    <sheet name="Planilha4" sheetId="4" r:id="rId4"/>
  </sheets>
  <definedNames>
    <definedName name="_xlnm.Print_Area" localSheetId="1">Planilha_Orçamentária_Modelo!$A$1:$J$253</definedName>
    <definedName name="_xlnm.Print_Area" localSheetId="3">Planilha4!$A$1:$I$23</definedName>
    <definedName name="_xlnm.Print_Area" localSheetId="2">'PREÇOS DE MERCADO'!$A$1:$G$81</definedName>
  </definedNames>
  <calcPr calcId="124519"/>
  <fileRecoveryPr repairLoad="1"/>
</workbook>
</file>

<file path=xl/calcChain.xml><?xml version="1.0" encoding="utf-8"?>
<calcChain xmlns="http://schemas.openxmlformats.org/spreadsheetml/2006/main">
  <c r="F14" i="4"/>
  <c r="E14" s="1"/>
  <c r="E15" s="1"/>
  <c r="B14"/>
  <c r="B12"/>
  <c r="F11"/>
  <c r="B10"/>
  <c r="H81" i="3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14"/>
  <c r="G14"/>
  <c r="J242" i="2"/>
  <c r="I242"/>
  <c r="H242"/>
  <c r="J241"/>
  <c r="I241"/>
  <c r="H241"/>
  <c r="J240"/>
  <c r="I240"/>
  <c r="H240"/>
  <c r="J239"/>
  <c r="I239"/>
  <c r="J238"/>
  <c r="I238"/>
  <c r="H238"/>
  <c r="J237"/>
  <c r="I237"/>
  <c r="H237"/>
  <c r="J236"/>
  <c r="I236"/>
  <c r="H236"/>
  <c r="J235"/>
  <c r="I235"/>
  <c r="J234"/>
  <c r="I234"/>
  <c r="H234"/>
  <c r="J233"/>
  <c r="I233"/>
  <c r="H233"/>
  <c r="J232"/>
  <c r="I232"/>
  <c r="H232"/>
  <c r="J231"/>
  <c r="I231"/>
  <c r="J230"/>
  <c r="I230"/>
  <c r="H230"/>
  <c r="J229"/>
  <c r="I229"/>
  <c r="H229"/>
  <c r="J228"/>
  <c r="I228"/>
  <c r="H228"/>
  <c r="J227"/>
  <c r="I227"/>
  <c r="J226"/>
  <c r="I226"/>
  <c r="H226"/>
  <c r="J225"/>
  <c r="I225"/>
  <c r="H225"/>
  <c r="J224"/>
  <c r="I224"/>
  <c r="H224"/>
  <c r="J223"/>
  <c r="I223"/>
  <c r="J222"/>
  <c r="I222"/>
  <c r="H222"/>
  <c r="J221"/>
  <c r="I221"/>
  <c r="H221"/>
  <c r="J220"/>
  <c r="I220"/>
  <c r="H220"/>
  <c r="J219"/>
  <c r="I219"/>
  <c r="J218"/>
  <c r="I218"/>
  <c r="H218"/>
  <c r="J217"/>
  <c r="I217"/>
  <c r="H217"/>
  <c r="J216"/>
  <c r="I216"/>
  <c r="H216"/>
  <c r="J215"/>
  <c r="I215"/>
  <c r="J214"/>
  <c r="I214"/>
  <c r="H214"/>
  <c r="J213"/>
  <c r="I213"/>
  <c r="H213"/>
  <c r="J212"/>
  <c r="I212"/>
  <c r="H212"/>
  <c r="J211"/>
  <c r="I211"/>
  <c r="J210"/>
  <c r="I210"/>
  <c r="H210"/>
  <c r="J209"/>
  <c r="I209"/>
  <c r="H209"/>
  <c r="J208"/>
  <c r="I208"/>
  <c r="H208"/>
  <c r="J207"/>
  <c r="I207"/>
  <c r="J206"/>
  <c r="I206"/>
  <c r="H206"/>
  <c r="J205"/>
  <c r="I205"/>
  <c r="H205"/>
  <c r="J204"/>
  <c r="I204"/>
  <c r="H204"/>
  <c r="J203"/>
  <c r="I203"/>
  <c r="J202"/>
  <c r="I202"/>
  <c r="H202"/>
  <c r="J201"/>
  <c r="I201"/>
  <c r="H201"/>
  <c r="J200"/>
  <c r="I200"/>
  <c r="H200"/>
  <c r="J199"/>
  <c r="I199"/>
  <c r="J198"/>
  <c r="I198"/>
  <c r="H198"/>
  <c r="J195"/>
  <c r="I195"/>
  <c r="J194"/>
  <c r="I194"/>
  <c r="H194"/>
  <c r="H193"/>
  <c r="G193" s="1"/>
  <c r="H192"/>
  <c r="G192" s="1"/>
  <c r="J191"/>
  <c r="I191"/>
  <c r="H191"/>
  <c r="H190"/>
  <c r="J190" s="1"/>
  <c r="I190" s="1"/>
  <c r="G190"/>
  <c r="H189"/>
  <c r="J189" s="1"/>
  <c r="I189" s="1"/>
  <c r="G189"/>
  <c r="J188"/>
  <c r="I188"/>
  <c r="H188"/>
  <c r="J187"/>
  <c r="I187"/>
  <c r="H187"/>
  <c r="J186"/>
  <c r="I186" s="1"/>
  <c r="H186"/>
  <c r="G186" s="1"/>
  <c r="J185"/>
  <c r="I185" s="1"/>
  <c r="H185"/>
  <c r="G185" s="1"/>
  <c r="J184"/>
  <c r="I184" s="1"/>
  <c r="H184"/>
  <c r="G184" s="1"/>
  <c r="J183"/>
  <c r="I183" s="1"/>
  <c r="H183"/>
  <c r="G183" s="1"/>
  <c r="J182"/>
  <c r="I182" s="1"/>
  <c r="H182"/>
  <c r="G182" s="1"/>
  <c r="J181"/>
  <c r="I181" s="1"/>
  <c r="H181"/>
  <c r="G181" s="1"/>
  <c r="J180"/>
  <c r="I180" s="1"/>
  <c r="H180"/>
  <c r="G180" s="1"/>
  <c r="J179"/>
  <c r="I179" s="1"/>
  <c r="H179"/>
  <c r="G179" s="1"/>
  <c r="J178"/>
  <c r="I178" s="1"/>
  <c r="H178"/>
  <c r="G178" s="1"/>
  <c r="J177"/>
  <c r="I177" s="1"/>
  <c r="H177"/>
  <c r="G177" s="1"/>
  <c r="J176"/>
  <c r="I176" s="1"/>
  <c r="H176"/>
  <c r="G176" s="1"/>
  <c r="J175"/>
  <c r="I175" s="1"/>
  <c r="H175"/>
  <c r="G175" s="1"/>
  <c r="J174"/>
  <c r="I174" s="1"/>
  <c r="H174"/>
  <c r="G174" s="1"/>
  <c r="J173"/>
  <c r="I173" s="1"/>
  <c r="H173"/>
  <c r="G173" s="1"/>
  <c r="J172"/>
  <c r="I172" s="1"/>
  <c r="H172"/>
  <c r="G172" s="1"/>
  <c r="J171"/>
  <c r="I171" s="1"/>
  <c r="H171"/>
  <c r="G171" s="1"/>
  <c r="J170"/>
  <c r="I170" s="1"/>
  <c r="H170"/>
  <c r="H169"/>
  <c r="G169" s="1"/>
  <c r="H168"/>
  <c r="G168" s="1"/>
  <c r="H167"/>
  <c r="J167" s="1"/>
  <c r="I167" s="1"/>
  <c r="H166"/>
  <c r="J166" s="1"/>
  <c r="J164"/>
  <c r="I164"/>
  <c r="H164"/>
  <c r="H163"/>
  <c r="G163" s="1"/>
  <c r="H162"/>
  <c r="J162" s="1"/>
  <c r="I162" s="1"/>
  <c r="H161"/>
  <c r="J161" s="1"/>
  <c r="I161" s="1"/>
  <c r="J160"/>
  <c r="I160"/>
  <c r="H160"/>
  <c r="J159"/>
  <c r="I159"/>
  <c r="H159"/>
  <c r="J158"/>
  <c r="I158" s="1"/>
  <c r="H158"/>
  <c r="G158" s="1"/>
  <c r="J157"/>
  <c r="I157" s="1"/>
  <c r="H157"/>
  <c r="G157" s="1"/>
  <c r="J156"/>
  <c r="I156" s="1"/>
  <c r="H156"/>
  <c r="G156" s="1"/>
  <c r="J155"/>
  <c r="I155" s="1"/>
  <c r="H155"/>
  <c r="G155" s="1"/>
  <c r="J154"/>
  <c r="I154" s="1"/>
  <c r="H154"/>
  <c r="G154" s="1"/>
  <c r="J153"/>
  <c r="I153" s="1"/>
  <c r="H153"/>
  <c r="G153" s="1"/>
  <c r="J152"/>
  <c r="I152" s="1"/>
  <c r="H152"/>
  <c r="G152" s="1"/>
  <c r="J151"/>
  <c r="I151" s="1"/>
  <c r="H151"/>
  <c r="G151"/>
  <c r="J150"/>
  <c r="I150" s="1"/>
  <c r="H150"/>
  <c r="G150"/>
  <c r="J149"/>
  <c r="I149" s="1"/>
  <c r="H149"/>
  <c r="G149"/>
  <c r="J148"/>
  <c r="I148" s="1"/>
  <c r="H148"/>
  <c r="G148"/>
  <c r="J147"/>
  <c r="I147" s="1"/>
  <c r="H147"/>
  <c r="G147"/>
  <c r="J146"/>
  <c r="I146" s="1"/>
  <c r="H146"/>
  <c r="G146"/>
  <c r="J145"/>
  <c r="I145" s="1"/>
  <c r="H145"/>
  <c r="G145"/>
  <c r="J144"/>
  <c r="I144" s="1"/>
  <c r="H144"/>
  <c r="G144"/>
  <c r="J143"/>
  <c r="I143" s="1"/>
  <c r="H143"/>
  <c r="H142"/>
  <c r="G142" s="1"/>
  <c r="H141"/>
  <c r="G141" s="1"/>
  <c r="H140"/>
  <c r="G140" s="1"/>
  <c r="H139"/>
  <c r="J139" s="1"/>
  <c r="I139" s="1"/>
  <c r="H138"/>
  <c r="J138" s="1"/>
  <c r="J136"/>
  <c r="I136" s="1"/>
  <c r="H136"/>
  <c r="G136" s="1"/>
  <c r="J135"/>
  <c r="I135" s="1"/>
  <c r="H135"/>
  <c r="G135" s="1"/>
  <c r="J134"/>
  <c r="I134" s="1"/>
  <c r="H134"/>
  <c r="G134" s="1"/>
  <c r="J133"/>
  <c r="I133" s="1"/>
  <c r="H133"/>
  <c r="H132"/>
  <c r="G132" s="1"/>
  <c r="H131"/>
  <c r="G131" s="1"/>
  <c r="H130"/>
  <c r="G130" s="1"/>
  <c r="H129"/>
  <c r="G129" s="1"/>
  <c r="H128"/>
  <c r="G128" s="1"/>
  <c r="H127"/>
  <c r="G127" s="1"/>
  <c r="H126"/>
  <c r="G126" s="1"/>
  <c r="H125"/>
  <c r="G125" s="1"/>
  <c r="H124"/>
  <c r="G124" s="1"/>
  <c r="H123"/>
  <c r="G123" s="1"/>
  <c r="H122"/>
  <c r="G122" s="1"/>
  <c r="H121"/>
  <c r="G121" s="1"/>
  <c r="H120"/>
  <c r="G120" s="1"/>
  <c r="H119"/>
  <c r="G119" s="1"/>
  <c r="H118"/>
  <c r="G118" s="1"/>
  <c r="H117"/>
  <c r="G117" s="1"/>
  <c r="H116"/>
  <c r="G116" s="1"/>
  <c r="H115"/>
  <c r="G115" s="1"/>
  <c r="H114"/>
  <c r="G114" s="1"/>
  <c r="H113"/>
  <c r="G113" s="1"/>
  <c r="H112"/>
  <c r="G112" s="1"/>
  <c r="H111"/>
  <c r="G111" s="1"/>
  <c r="H110"/>
  <c r="G110" s="1"/>
  <c r="H109"/>
  <c r="J109" s="1"/>
  <c r="I109" s="1"/>
  <c r="H108"/>
  <c r="J108" s="1"/>
  <c r="I108" s="1"/>
  <c r="H107"/>
  <c r="J107" s="1"/>
  <c r="I107" s="1"/>
  <c r="J106"/>
  <c r="I106" s="1"/>
  <c r="H106"/>
  <c r="G106"/>
  <c r="J105"/>
  <c r="I105"/>
  <c r="H105"/>
  <c r="J104"/>
  <c r="I104"/>
  <c r="H104"/>
  <c r="J103"/>
  <c r="I103"/>
  <c r="H103"/>
  <c r="J102"/>
  <c r="I102"/>
  <c r="H102"/>
  <c r="J101"/>
  <c r="I101" s="1"/>
  <c r="H101"/>
  <c r="G101"/>
  <c r="J100"/>
  <c r="I100" s="1"/>
  <c r="H100"/>
  <c r="G100"/>
  <c r="J99"/>
  <c r="I99" s="1"/>
  <c r="H99"/>
  <c r="G99"/>
  <c r="J98"/>
  <c r="I98" s="1"/>
  <c r="H98"/>
  <c r="G98"/>
  <c r="J97"/>
  <c r="I97" s="1"/>
  <c r="H97"/>
  <c r="G97"/>
  <c r="J96"/>
  <c r="I96" s="1"/>
  <c r="H96"/>
  <c r="G96"/>
  <c r="J95"/>
  <c r="I95" s="1"/>
  <c r="H95"/>
  <c r="G95"/>
  <c r="J94"/>
  <c r="I94" s="1"/>
  <c r="H94"/>
  <c r="G94"/>
  <c r="J93"/>
  <c r="I93" s="1"/>
  <c r="H93"/>
  <c r="G93"/>
  <c r="J92"/>
  <c r="I92" s="1"/>
  <c r="H92"/>
  <c r="G92"/>
  <c r="J91"/>
  <c r="I91" s="1"/>
  <c r="H91"/>
  <c r="G91"/>
  <c r="J90"/>
  <c r="I90" s="1"/>
  <c r="H90"/>
  <c r="G90"/>
  <c r="J89"/>
  <c r="I89" s="1"/>
  <c r="H89"/>
  <c r="G89"/>
  <c r="J88"/>
  <c r="I88" s="1"/>
  <c r="H88"/>
  <c r="G88"/>
  <c r="J87"/>
  <c r="I87" s="1"/>
  <c r="H87"/>
  <c r="G87"/>
  <c r="J86"/>
  <c r="I86" s="1"/>
  <c r="H86"/>
  <c r="G86"/>
  <c r="J85"/>
  <c r="I85" s="1"/>
  <c r="H85"/>
  <c r="G85"/>
  <c r="J84"/>
  <c r="I84" s="1"/>
  <c r="H84"/>
  <c r="J83"/>
  <c r="I83" s="1"/>
  <c r="H83"/>
  <c r="G83"/>
  <c r="J82"/>
  <c r="I82" s="1"/>
  <c r="H82"/>
  <c r="G82"/>
  <c r="J81"/>
  <c r="I81" s="1"/>
  <c r="H81"/>
  <c r="H80"/>
  <c r="G80" s="1"/>
  <c r="J78"/>
  <c r="I78" s="1"/>
  <c r="H78"/>
  <c r="G78"/>
  <c r="J77"/>
  <c r="I77"/>
  <c r="H77"/>
  <c r="J76"/>
  <c r="I76"/>
  <c r="H76"/>
  <c r="H75"/>
  <c r="G75" s="1"/>
  <c r="H74"/>
  <c r="J74" s="1"/>
  <c r="I74" s="1"/>
  <c r="H73"/>
  <c r="J73" s="1"/>
  <c r="I73" s="1"/>
  <c r="J72"/>
  <c r="I72"/>
  <c r="H72"/>
  <c r="J71"/>
  <c r="I71"/>
  <c r="H71"/>
  <c r="J70"/>
  <c r="I70" s="1"/>
  <c r="H70"/>
  <c r="G70"/>
  <c r="J69"/>
  <c r="I69" s="1"/>
  <c r="H69"/>
  <c r="G69"/>
  <c r="J68"/>
  <c r="I68" s="1"/>
  <c r="H68"/>
  <c r="G68"/>
  <c r="J67"/>
  <c r="I67" s="1"/>
  <c r="H67"/>
  <c r="G67"/>
  <c r="J66"/>
  <c r="I66" s="1"/>
  <c r="H66"/>
  <c r="G66"/>
  <c r="J65"/>
  <c r="I65" s="1"/>
  <c r="H65"/>
  <c r="G65"/>
  <c r="J64"/>
  <c r="I64" s="1"/>
  <c r="H64"/>
  <c r="G64"/>
  <c r="J63"/>
  <c r="I63" s="1"/>
  <c r="H63"/>
  <c r="G63"/>
  <c r="J62"/>
  <c r="I62" s="1"/>
  <c r="H62"/>
  <c r="G62"/>
  <c r="J61"/>
  <c r="I61" s="1"/>
  <c r="H61"/>
  <c r="G61"/>
  <c r="J60"/>
  <c r="I60" s="1"/>
  <c r="H60"/>
  <c r="G60"/>
  <c r="J59"/>
  <c r="I59" s="1"/>
  <c r="H59"/>
  <c r="G59"/>
  <c r="J58"/>
  <c r="I58" s="1"/>
  <c r="H58"/>
  <c r="H57"/>
  <c r="G57" s="1"/>
  <c r="H56"/>
  <c r="G56" s="1"/>
  <c r="H55"/>
  <c r="G55" s="1"/>
  <c r="H54"/>
  <c r="G54" s="1"/>
  <c r="H53"/>
  <c r="J53" s="1"/>
  <c r="I53" s="1"/>
  <c r="H52"/>
  <c r="J52" s="1"/>
  <c r="H50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O29"/>
  <c r="J29"/>
  <c r="I29"/>
  <c r="H29"/>
  <c r="J28"/>
  <c r="I28"/>
  <c r="H28"/>
  <c r="J27"/>
  <c r="I27"/>
  <c r="H27"/>
  <c r="J26"/>
  <c r="I26"/>
  <c r="H26"/>
  <c r="J25"/>
  <c r="I25"/>
  <c r="H25"/>
  <c r="J24"/>
  <c r="I24" s="1"/>
  <c r="I23" s="1"/>
  <c r="I20" s="1"/>
  <c r="H24"/>
  <c r="G24"/>
  <c r="H23"/>
  <c r="J22"/>
  <c r="I22"/>
  <c r="H22"/>
  <c r="F22"/>
  <c r="J21"/>
  <c r="I21"/>
  <c r="N20"/>
  <c r="C21" i="1"/>
  <c r="I166" i="2" l="1"/>
  <c r="I52"/>
  <c r="I138"/>
  <c r="G52"/>
  <c r="J54"/>
  <c r="I54" s="1"/>
  <c r="J55"/>
  <c r="I55" s="1"/>
  <c r="J56"/>
  <c r="I56" s="1"/>
  <c r="J57"/>
  <c r="I57" s="1"/>
  <c r="J75"/>
  <c r="I75" s="1"/>
  <c r="J80"/>
  <c r="J110"/>
  <c r="I110" s="1"/>
  <c r="J111"/>
  <c r="I111" s="1"/>
  <c r="J112"/>
  <c r="I112" s="1"/>
  <c r="J113"/>
  <c r="I113" s="1"/>
  <c r="J114"/>
  <c r="I114" s="1"/>
  <c r="J115"/>
  <c r="I115" s="1"/>
  <c r="J116"/>
  <c r="I116" s="1"/>
  <c r="J117"/>
  <c r="I117" s="1"/>
  <c r="J118"/>
  <c r="I118" s="1"/>
  <c r="J119"/>
  <c r="I119" s="1"/>
  <c r="J120"/>
  <c r="I120" s="1"/>
  <c r="J121"/>
  <c r="I121" s="1"/>
  <c r="J122"/>
  <c r="I122" s="1"/>
  <c r="J123"/>
  <c r="I123" s="1"/>
  <c r="J124"/>
  <c r="I124" s="1"/>
  <c r="J125"/>
  <c r="I125" s="1"/>
  <c r="J126"/>
  <c r="I126" s="1"/>
  <c r="J127"/>
  <c r="I127" s="1"/>
  <c r="J128"/>
  <c r="I128" s="1"/>
  <c r="J129"/>
  <c r="I129" s="1"/>
  <c r="J130"/>
  <c r="I130" s="1"/>
  <c r="J131"/>
  <c r="I131" s="1"/>
  <c r="J132"/>
  <c r="I132" s="1"/>
  <c r="J140"/>
  <c r="I140" s="1"/>
  <c r="J141"/>
  <c r="I141" s="1"/>
  <c r="J142"/>
  <c r="I142" s="1"/>
  <c r="J163"/>
  <c r="I163" s="1"/>
  <c r="J168"/>
  <c r="I168" s="1"/>
  <c r="J169"/>
  <c r="I169" s="1"/>
  <c r="J192"/>
  <c r="I192" s="1"/>
  <c r="J193"/>
  <c r="I193" s="1"/>
  <c r="G108"/>
  <c r="G138"/>
  <c r="G161"/>
  <c r="G166"/>
  <c r="J23"/>
  <c r="J20" s="1"/>
  <c r="G73"/>
  <c r="I51" l="1"/>
  <c r="J165"/>
  <c r="F10" i="4"/>
  <c r="C13" i="1"/>
  <c r="J79" i="2"/>
  <c r="I80"/>
  <c r="I79" s="1"/>
  <c r="J137"/>
  <c r="I165"/>
  <c r="I137"/>
  <c r="J51"/>
  <c r="J50" s="1"/>
  <c r="J49" s="1"/>
  <c r="J245" s="1"/>
  <c r="I50" l="1"/>
  <c r="I49" s="1"/>
  <c r="J244" s="1"/>
  <c r="D10" i="4"/>
  <c r="D11" s="1"/>
  <c r="E10"/>
  <c r="C17" i="1"/>
  <c r="F13" s="1"/>
  <c r="F12" i="4"/>
  <c r="D12" l="1"/>
  <c r="E12"/>
  <c r="E13" s="1"/>
  <c r="F16"/>
  <c r="E11"/>
  <c r="E16"/>
  <c r="E17" s="1"/>
  <c r="D13" l="1"/>
  <c r="D16"/>
  <c r="D17" s="1"/>
  <c r="F17" s="1"/>
</calcChain>
</file>

<file path=xl/sharedStrings.xml><?xml version="1.0" encoding="utf-8"?>
<sst xmlns="http://schemas.openxmlformats.org/spreadsheetml/2006/main" count="1258" uniqueCount="524">
  <si>
    <t>PLANILHA RESUMO - META 1, 2 E 3</t>
  </si>
  <si>
    <r>
      <rPr>
        <sz val="12"/>
        <color rgb="FF000000"/>
        <rFont val="Arial"/>
        <charset val="1"/>
      </rPr>
      <t xml:space="preserve">OBRA: </t>
    </r>
    <r>
      <rPr>
        <sz val="12"/>
        <color rgb="FF000000"/>
        <rFont val="Arial"/>
        <charset val="1"/>
      </rPr>
      <t xml:space="preserve">INFRAESTRUTURA URBANA COM INSTALAÇÃO DE ILUMINAÇÃO PÚBLICA </t>
    </r>
  </si>
  <si>
    <r>
      <rPr>
        <sz val="12"/>
        <color rgb="FF000000"/>
        <rFont val="Arial"/>
        <charset val="1"/>
      </rPr>
      <t>LOCAL:</t>
    </r>
    <r>
      <rPr>
        <sz val="12"/>
        <color rgb="FF000000"/>
        <rFont val="Arial"/>
        <charset val="1"/>
      </rPr>
      <t xml:space="preserve"> JARDIM AYUB I, AVENIDA JOSÉ DE NÓBREGA -  BAIRRO: CAMPO GRANDE  - PILAR DO SUL - SÃO PAULO</t>
    </r>
  </si>
  <si>
    <r>
      <rPr>
        <sz val="12"/>
        <color rgb="FF000000"/>
        <rFont val="Arial"/>
        <charset val="1"/>
      </rPr>
      <t xml:space="preserve">PROPRIETÁRIO: </t>
    </r>
    <r>
      <rPr>
        <sz val="12"/>
        <color rgb="FF000000"/>
        <rFont val="Arial"/>
        <charset val="1"/>
      </rPr>
      <t>PREFEITURA MUNICIPAL DE PILAR DO SUL-SP</t>
    </r>
  </si>
  <si>
    <t>METAS</t>
  </si>
  <si>
    <t>VALOR POR META</t>
  </si>
  <si>
    <t>VALOR TOTAL</t>
  </si>
  <si>
    <t xml:space="preserve">META 1: INSTALAÇÃO DE ILUMINAÇÃO PÚBLICA ORNAMENTAL NA RUA HACHIRO YAMASAKI – JD. AUYB I. </t>
  </si>
  <si>
    <t>META 2: INSTALAÇÃO DE ILUMINAÇÃO PÚBLICA NA AVENIDA JOSÉ DE NÓBREGA – BAIRRO CAMPO GRANDE.</t>
  </si>
  <si>
    <t>META 3: SUBSTITUIÇÃO DE LUMINÁRIAS CONVENCIONAIS POR LED EM RUAS DO BAIRRO JD. AYUB I.</t>
  </si>
  <si>
    <t>PILAR DO SUL-SP,12 DE DEZEMBRO DE 2023.</t>
  </si>
  <si>
    <t>PLANILHA ORÇAMENTÁRIA</t>
  </si>
  <si>
    <t>OBJETO:</t>
  </si>
  <si>
    <t>INFRAESTRUTURA URBANA COM INSTALAÇÃO DE ILUMINAÇÃO PÚBLICA</t>
  </si>
  <si>
    <t>ENDEREÇO:</t>
  </si>
  <si>
    <t>RUAS DO BAIRRO JARDIM AYUB I E NA AV. JOSÉ DE NÓBREGA - BAIRRO CAMPO GRANDE</t>
  </si>
  <si>
    <t>MUNICÍPIO:</t>
  </si>
  <si>
    <t>PILAR DO SUL-SP</t>
  </si>
  <si>
    <t>DEMANDA:</t>
  </si>
  <si>
    <t>DATA-BASE: TABELAS DESONERADAS</t>
  </si>
  <si>
    <t>CDHU</t>
  </si>
  <si>
    <t>194 / MAI-24</t>
  </si>
  <si>
    <t>SINAPI</t>
  </si>
  <si>
    <t>13/06/2024</t>
  </si>
  <si>
    <t>SIURB</t>
  </si>
  <si>
    <t>JANEIRO/24</t>
  </si>
  <si>
    <t>MERCADO</t>
  </si>
  <si>
    <t>DEZEMBRO/23</t>
  </si>
  <si>
    <t>BDI</t>
  </si>
  <si>
    <t>META 1</t>
  </si>
  <si>
    <t>ITEM</t>
  </si>
  <si>
    <t>FONTE</t>
  </si>
  <si>
    <t>CÓDIGO</t>
  </si>
  <si>
    <t>DESCRIÇÃO</t>
  </si>
  <si>
    <t>UNID.</t>
  </si>
  <si>
    <t>QUANT.</t>
  </si>
  <si>
    <t>VALOR UNITÁRIO</t>
  </si>
  <si>
    <t>SEM BDI</t>
  </si>
  <si>
    <t>COM BDI</t>
  </si>
  <si>
    <t>1.</t>
  </si>
  <si>
    <t>INSTALAÇÃO DE ILUMINAÇÃO PÚBLICA ORNAMENTAL NA RUA HACHIRO YAMASAKI – JD. AUYB I</t>
  </si>
  <si>
    <t>1.1</t>
  </si>
  <si>
    <t>SERVIÇOS PRELIMINARES</t>
  </si>
  <si>
    <t>1.1.1</t>
  </si>
  <si>
    <t>02.08.020</t>
  </si>
  <si>
    <t>Placa de identificação para obra</t>
  </si>
  <si>
    <t>m²</t>
  </si>
  <si>
    <t>1.2</t>
  </si>
  <si>
    <t xml:space="preserve">INSTALAÇÃO DE ILUMINAÇÃO PÚBLICA ORNAMENTAL </t>
  </si>
  <si>
    <t>1.2.1</t>
  </si>
  <si>
    <t xml:space="preserve">MERCADO </t>
  </si>
  <si>
    <t>1</t>
  </si>
  <si>
    <t xml:space="preserve">Poste Padrão Trifásico, subterrâneo - cabo 25mm², disjuntor de 100A, com ART , Fornecimento + Instalação </t>
  </si>
  <si>
    <t>un</t>
  </si>
  <si>
    <t>1.2.2</t>
  </si>
  <si>
    <t>03.01.020</t>
  </si>
  <si>
    <t>Demolição manual de concreto simples</t>
  </si>
  <si>
    <t>m³</t>
  </si>
  <si>
    <t>1.2.3</t>
  </si>
  <si>
    <t xml:space="preserve">SINAPI </t>
  </si>
  <si>
    <t>94990</t>
  </si>
  <si>
    <t xml:space="preserve">Execução de passeio (calçada) ou piso de concreto com concreto moldado In loco, feito em obra, acabamento convencional, não armado
</t>
  </si>
  <si>
    <t>1.2.4</t>
  </si>
  <si>
    <t>09_005_70</t>
  </si>
  <si>
    <t xml:space="preserve">Caixa de passagem e tampa pré-moldadas em concreto, sem fundo,  40x40cm - Fornecimento e instalação completa </t>
  </si>
  <si>
    <t>1.2.5</t>
  </si>
  <si>
    <t>12.01.021</t>
  </si>
  <si>
    <r>
      <rPr>
        <sz val="10"/>
        <color rgb="FF000000"/>
        <rFont val="Arial"/>
        <charset val="1"/>
      </rPr>
      <t xml:space="preserve">Broca em concreto armado diâmetro de 20 cm </t>
    </r>
    <r>
      <rPr>
        <sz val="10"/>
        <color rgb="FF000000"/>
        <rFont val="Times New Roman"/>
        <charset val="1"/>
      </rPr>
      <t>‐</t>
    </r>
    <r>
      <rPr>
        <sz val="10"/>
        <color rgb="FF000000"/>
        <rFont val="Arial"/>
        <charset val="1"/>
      </rPr>
      <t xml:space="preserve"> completa</t>
    </r>
  </si>
  <si>
    <t>m</t>
  </si>
  <si>
    <t>1.2.6</t>
  </si>
  <si>
    <t>11.01.100</t>
  </si>
  <si>
    <t>Concreto usinado, fck = 20 Mpa</t>
  </si>
  <si>
    <t>1.2.7</t>
  </si>
  <si>
    <t>11.16.040</t>
  </si>
  <si>
    <t>Lançamento e adensamento de concreto ou massa em fundação</t>
  </si>
  <si>
    <t>1.2.8</t>
  </si>
  <si>
    <t>09_005_068</t>
  </si>
  <si>
    <t xml:space="preserve">Caixa de passagem e tampa pré-moldadas em concreto, sem fundo,  20x20cm - Fornecimento e instalação completa </t>
  </si>
  <si>
    <t>1.2.9</t>
  </si>
  <si>
    <t>42.05.190</t>
  </si>
  <si>
    <t>Haste de aterramento de 3/4´ x 3 m</t>
  </si>
  <si>
    <t>1.2.10</t>
  </si>
  <si>
    <t>42.05.110</t>
  </si>
  <si>
    <t>Conector cabo/haste de 3/4´</t>
  </si>
  <si>
    <t>1.2.11</t>
  </si>
  <si>
    <t>11.18.040</t>
  </si>
  <si>
    <t>Lastro de pedra britada</t>
  </si>
  <si>
    <t>1.2.12</t>
  </si>
  <si>
    <t>06.01.020</t>
  </si>
  <si>
    <t>Escavação manual em solo de 1ª e 2ª categoria em campo aberto</t>
  </si>
  <si>
    <t>1.2.13</t>
  </si>
  <si>
    <t>38.13.010</t>
  </si>
  <si>
    <t>Eletroduto corrugado em polietileno de alta densidade, DN= 30 mm, com acessórios</t>
  </si>
  <si>
    <t>1.2.14</t>
  </si>
  <si>
    <t>38.13.020</t>
  </si>
  <si>
    <t>Eletroduto corrugado em polietileno de alta densidade, DN= 50 mm, com acessórios</t>
  </si>
  <si>
    <t>1.2.15</t>
  </si>
  <si>
    <t>39.21.020</t>
  </si>
  <si>
    <r>
      <rPr>
        <sz val="10"/>
        <color rgb="FF000000"/>
        <rFont val="Arial"/>
        <charset val="1"/>
      </rPr>
      <t xml:space="preserve">Cabo de cobre flexível de 2,5 mm², isolamento 0,6/1kV </t>
    </r>
    <r>
      <rPr>
        <sz val="10"/>
        <color rgb="FF000000"/>
        <rFont val="Times New Roman"/>
        <charset val="1"/>
      </rPr>
      <t>‐</t>
    </r>
    <r>
      <rPr>
        <sz val="10"/>
        <color rgb="FF000000"/>
        <rFont val="Arial"/>
        <charset val="1"/>
      </rPr>
      <t xml:space="preserve"> isolação HEPR 90°C</t>
    </r>
  </si>
  <si>
    <t>1.2.16</t>
  </si>
  <si>
    <t>39.21.050</t>
  </si>
  <si>
    <r>
      <rPr>
        <sz val="10"/>
        <color rgb="FF000000"/>
        <rFont val="Arial"/>
        <charset val="1"/>
      </rPr>
      <t xml:space="preserve">Cabo de cobre flexível de 10 mm², isolamento 0,6/1kV </t>
    </r>
    <r>
      <rPr>
        <sz val="10"/>
        <color rgb="FF000000"/>
        <rFont val="Times New Roman"/>
        <charset val="1"/>
      </rPr>
      <t>‐</t>
    </r>
    <r>
      <rPr>
        <sz val="10"/>
        <color rgb="FF000000"/>
        <rFont val="Arial"/>
        <charset val="1"/>
      </rPr>
      <t xml:space="preserve"> isolação HEPR 90°C</t>
    </r>
  </si>
  <si>
    <t>1.2.17</t>
  </si>
  <si>
    <t>39.21.060</t>
  </si>
  <si>
    <r>
      <rPr>
        <sz val="10"/>
        <color rgb="FF000000"/>
        <rFont val="Arial"/>
        <charset val="1"/>
      </rPr>
      <t xml:space="preserve">Cabo de cobre flexível de 16 mm², isolamento 0,6/1kV </t>
    </r>
    <r>
      <rPr>
        <sz val="10"/>
        <color rgb="FF000000"/>
        <rFont val="Times New Roman"/>
        <charset val="1"/>
      </rPr>
      <t>‐</t>
    </r>
    <r>
      <rPr>
        <sz val="10"/>
        <color rgb="FF000000"/>
        <rFont val="Arial"/>
        <charset val="1"/>
      </rPr>
      <t xml:space="preserve"> isolação HEPR 90°C</t>
    </r>
  </si>
  <si>
    <t>1.2.18</t>
  </si>
  <si>
    <t>39.04.070</t>
  </si>
  <si>
    <t>Cabo de cobre nu, têmpera mole, classe 2, de 35 mm²</t>
  </si>
  <si>
    <t>1.2.19</t>
  </si>
  <si>
    <t>06.11.040</t>
  </si>
  <si>
    <t>Reaterro manual apiloado sem controle de compactação</t>
  </si>
  <si>
    <t>1.2.20</t>
  </si>
  <si>
    <t>100620</t>
  </si>
  <si>
    <t xml:space="preserve">Poste de aço cônico contínuo curvo simples, flangeado, h=9m, com chumbadores, fornecimento e instalação </t>
  </si>
  <si>
    <t>1.2.21</t>
  </si>
  <si>
    <t>101658</t>
  </si>
  <si>
    <t>Luminária de LED para iluminação pública, de 138 w até 180 w - 150lm/w, fornecimento e instalação</t>
  </si>
  <si>
    <t>1.2.22</t>
  </si>
  <si>
    <t>40.11.010</t>
  </si>
  <si>
    <t>Relé fotoelétrico 50/60 Hz, 110/220 V, 1200 VA, completo</t>
  </si>
  <si>
    <t>META 2</t>
  </si>
  <si>
    <t>VALOR UNIT.</t>
  </si>
  <si>
    <t>2.</t>
  </si>
  <si>
    <t>INSTALAÇÃO DE ILUMINAÇÃO PÚBLICA NA AVENIDA JOSÉ DE NÓBREGA – BAIRRO CAMPO GRANDE</t>
  </si>
  <si>
    <t>2.1</t>
  </si>
  <si>
    <t xml:space="preserve">INSTALAÇÃO DE ILUMINAÇÃO PÚBLICA  </t>
  </si>
  <si>
    <t>2.1.1</t>
  </si>
  <si>
    <t>TRECHO 01 - INSTALAÇÃO DE 05 PONTOS DE ILUMINAÇÃO PÚBLICA (CONFORME PROJETO)</t>
  </si>
  <si>
    <t>2.1.1.1</t>
  </si>
  <si>
    <t>2</t>
  </si>
  <si>
    <t>ABRAÇADEIRA T120R</t>
  </si>
  <si>
    <t>2.1.1.2</t>
  </si>
  <si>
    <t>101554</t>
  </si>
  <si>
    <t>Alça preformada de distribuição, em aço galvanizado, awg 2 - fornecimento e instalação</t>
  </si>
  <si>
    <t>2.1.1.3</t>
  </si>
  <si>
    <t>3</t>
  </si>
  <si>
    <t>ALÇA PREF PARA CABO ALUMINIO NU 2 CA</t>
  </si>
  <si>
    <t>2.1.1.4</t>
  </si>
  <si>
    <t>4</t>
  </si>
  <si>
    <t>ARMAÇÃO SECUNDÁRIA AÇO CARB 1 ESTR 150X110MM</t>
  </si>
  <si>
    <t>2.1.1.5</t>
  </si>
  <si>
    <t>5</t>
  </si>
  <si>
    <t>ARRUELA LISA CIRCULAR M18</t>
  </si>
  <si>
    <t>2.1.1.6</t>
  </si>
  <si>
    <t>7</t>
  </si>
  <si>
    <t>PORCA QUADRADA M16</t>
  </si>
  <si>
    <t>2.1.1.7</t>
  </si>
  <si>
    <t>39.04.060</t>
  </si>
  <si>
    <t>Cabo de cobre nu, têmpera mole, classe 2, de 25 mm²</t>
  </si>
  <si>
    <t>2.1.1.8</t>
  </si>
  <si>
    <t>9</t>
  </si>
  <si>
    <t>CABO MULTIPLEX ALUM XLPE 3X1X35/35MM² NEUTRO ISOLADO</t>
  </si>
  <si>
    <t>2.1.1.9</t>
  </si>
  <si>
    <t>10</t>
  </si>
  <si>
    <t>CINTA POSTE CIRC AÇO CARB 160,0MM</t>
  </si>
  <si>
    <t>2.1.1.10</t>
  </si>
  <si>
    <t>11</t>
  </si>
  <si>
    <t>CINTA POSTE CIRC AÇO CARB 180,0MM</t>
  </si>
  <si>
    <t>2.1.1.11</t>
  </si>
  <si>
    <t>12</t>
  </si>
  <si>
    <t>CINTA POSTE CIRC AÇO CARB 200,0MM</t>
  </si>
  <si>
    <t>2.1.1.12</t>
  </si>
  <si>
    <t>17</t>
  </si>
  <si>
    <t>CONECTOR PERFURANTE 35-120 / 6-50 MM²</t>
  </si>
  <si>
    <t>2.1.1.13</t>
  </si>
  <si>
    <t>21</t>
  </si>
  <si>
    <t>CONECTOR COMPRESSÃO COBRE 1/0-2/0/ F8- 2AWG</t>
  </si>
  <si>
    <t>2.1.1.14</t>
  </si>
  <si>
    <t>24</t>
  </si>
  <si>
    <t>GRAMPO PARALELO BRONZE 10,0- 70,0 MM²</t>
  </si>
  <si>
    <t>2.1.1.15</t>
  </si>
  <si>
    <t>25</t>
  </si>
  <si>
    <t>HASTE CIRCULAR P/ ATERRAMENTO 13,0X 2400,0MM</t>
  </si>
  <si>
    <t>2.1.1.16</t>
  </si>
  <si>
    <t>26</t>
  </si>
  <si>
    <t>ISOLADOR ROLDANA PORCELANA 76,0MM 1350DAN</t>
  </si>
  <si>
    <t>2.1.1.17</t>
  </si>
  <si>
    <t>27</t>
  </si>
  <si>
    <t>LACO PREF P/ ISOLADOR ROLDANA 35 MM²</t>
  </si>
  <si>
    <t>2.1.1.18</t>
  </si>
  <si>
    <t>28</t>
  </si>
  <si>
    <t>MASSA PLASTICA SINTETICA CINZA 1000G</t>
  </si>
  <si>
    <t>2.1.1.19</t>
  </si>
  <si>
    <t>30</t>
  </si>
  <si>
    <t>PARAFUSO ABAULADO M16X45MM</t>
  </si>
  <si>
    <t>2.1.1.20</t>
  </si>
  <si>
    <t xml:space="preserve">CDHU </t>
  </si>
  <si>
    <t>68.01.650</t>
  </si>
  <si>
    <t>Poste de concreto circular, 200 kg, H = 12,00 m</t>
  </si>
  <si>
    <t>2.1.1.21</t>
  </si>
  <si>
    <t xml:space="preserve"> 68.01.760</t>
  </si>
  <si>
    <t>Poste de concreto circular, 400 kg, H = 12,00 m</t>
  </si>
  <si>
    <t>2.1.1.22</t>
  </si>
  <si>
    <t>32</t>
  </si>
  <si>
    <t>TORA DE MADEIRA P/ESTAI SUB SOLO 200,0X 1500,0MM</t>
  </si>
  <si>
    <t>2.1.1.23</t>
  </si>
  <si>
    <t xml:space="preserve"> 101658</t>
  </si>
  <si>
    <t>Luminária de led para iluminação pública, de 150 w, eficiência mínina de 150 lm/W - fornecimento e instalação</t>
  </si>
  <si>
    <t>2.1.1.24</t>
  </si>
  <si>
    <t>33</t>
  </si>
  <si>
    <t>BRAÇO LONGO PARA ILUMINAÇÃO PÚBLICA 3000MM</t>
  </si>
  <si>
    <t>2.1.1.25</t>
  </si>
  <si>
    <t>39.02.016</t>
  </si>
  <si>
    <r>
      <rPr>
        <sz val="10"/>
        <color rgb="FF000000"/>
        <rFont val="Arial"/>
        <charset val="1"/>
      </rPr>
      <t xml:space="preserve">Cabo de cobre de 2,5 mm², isolamento 750 V </t>
    </r>
    <r>
      <rPr>
        <sz val="10"/>
        <color rgb="FF000000"/>
        <rFont val="Times New Roman"/>
        <charset val="1"/>
      </rPr>
      <t>‐</t>
    </r>
    <r>
      <rPr>
        <sz val="10"/>
        <color rgb="FF000000"/>
        <rFont val="Arial"/>
        <charset val="1"/>
      </rPr>
      <t xml:space="preserve"> isolação em PVC 70°C</t>
    </r>
  </si>
  <si>
    <t>2.1.1.26</t>
  </si>
  <si>
    <t>2.1.1.27</t>
  </si>
  <si>
    <t>34</t>
  </si>
  <si>
    <t>CHAVE MAGNÉTICA SABE INTERNA 220V 2X30A 1NF</t>
  </si>
  <si>
    <t>2.1.2</t>
  </si>
  <si>
    <t>TRECHO 02 - INSTALAÇÃO DE 06 PONTOS DE ILUMINAÇÃO PÚBLICA (CONFORME PROJETO)</t>
  </si>
  <si>
    <t>2.1.2.1</t>
  </si>
  <si>
    <t>2.1.2.2</t>
  </si>
  <si>
    <t>2.1.2.3</t>
  </si>
  <si>
    <t>2.1.2.4</t>
  </si>
  <si>
    <t>2.1.2.5</t>
  </si>
  <si>
    <t>2.1.2.6</t>
  </si>
  <si>
    <t>2.1.2.7</t>
  </si>
  <si>
    <t>2.1.2.8</t>
  </si>
  <si>
    <t>2.1.2.9</t>
  </si>
  <si>
    <t>2.1.2.10</t>
  </si>
  <si>
    <t>15</t>
  </si>
  <si>
    <t>CINTA POSTE CIRC AÇO CARB 280,0MM</t>
  </si>
  <si>
    <t>2.1.2.11</t>
  </si>
  <si>
    <t>2.1.2.12</t>
  </si>
  <si>
    <t>18</t>
  </si>
  <si>
    <t>CONECTOR COMPRESSÃO ALUM 10,0-25,0/50MM2</t>
  </si>
  <si>
    <t>2.1.2.13</t>
  </si>
  <si>
    <t>19</t>
  </si>
  <si>
    <t>CONECTOR COMPRESSÃO ALUMINIO 35,0- 50,0/ 35- 50MM²</t>
  </si>
  <si>
    <t>2.1.2.14</t>
  </si>
  <si>
    <t>2.1.2.15</t>
  </si>
  <si>
    <t>22</t>
  </si>
  <si>
    <t>FITA ISOLANTE CLASSE A PT 1KV 19MM 10M</t>
  </si>
  <si>
    <t>rolo</t>
  </si>
  <si>
    <t>2.1.2.16</t>
  </si>
  <si>
    <t>23</t>
  </si>
  <si>
    <t>FITA ISOLANTE CLASSE A PT 750V 19MM 20M</t>
  </si>
  <si>
    <t>2.1.2.17</t>
  </si>
  <si>
    <t>2.1.2.18</t>
  </si>
  <si>
    <t>2.1.2.19</t>
  </si>
  <si>
    <t>2.1.2.20</t>
  </si>
  <si>
    <t>2.1.2.21</t>
  </si>
  <si>
    <t>2.1.2.22</t>
  </si>
  <si>
    <t>2.1.2.23</t>
  </si>
  <si>
    <t>2.1.2.24</t>
  </si>
  <si>
    <t>68.01.760</t>
  </si>
  <si>
    <t>2.1.2.25</t>
  </si>
  <si>
    <t>2.1.2.26</t>
  </si>
  <si>
    <t>68.01.810</t>
  </si>
  <si>
    <t>Poste de concreto circular, 600 kg, H = 12,00 m</t>
  </si>
  <si>
    <t>2.1.2.27</t>
  </si>
  <si>
    <t>2.1.2.28</t>
  </si>
  <si>
    <t>2.1.2.29</t>
  </si>
  <si>
    <t>2.1.2.30</t>
  </si>
  <si>
    <t>2.1.2.31</t>
  </si>
  <si>
    <t>35</t>
  </si>
  <si>
    <t>ARTICULADOR PARA BRAÇO DE ILUMINAÇÃO PÚBLICA</t>
  </si>
  <si>
    <t>2.1.2.32</t>
  </si>
  <si>
    <t>36</t>
  </si>
  <si>
    <t>ALÇA PREFORMADA PARA CORDOALHA 7,94 MM</t>
  </si>
  <si>
    <t>2.1.2.33</t>
  </si>
  <si>
    <t>37</t>
  </si>
  <si>
    <t>CHAVE FUSIVEL DE DISTRIBUIÇÃO BASE C 15KV 300A 10KA</t>
  </si>
  <si>
    <t>2.1.2.34</t>
  </si>
  <si>
    <t>38</t>
  </si>
  <si>
    <t>CONECTOR ESTRIBO COMPRESSÃO P/ CABO DE ALUMINIO 4- 2/ 4-2AWG</t>
  </si>
  <si>
    <t>2.1.2.35</t>
  </si>
  <si>
    <t>39</t>
  </si>
  <si>
    <t>ELO FUSIVEL 2H</t>
  </si>
  <si>
    <t>2.1.2.36</t>
  </si>
  <si>
    <t>40</t>
  </si>
  <si>
    <t>ELO FUSIVEL 10K</t>
  </si>
  <si>
    <t>2.1.2.37</t>
  </si>
  <si>
    <t>41</t>
  </si>
  <si>
    <t>ESPAÇADOR DE REDE POLIMÉRICO</t>
  </si>
  <si>
    <t>2.1.2.38</t>
  </si>
  <si>
    <t>42</t>
  </si>
  <si>
    <t>GANCHO OLHAL AÇO CARB 22,0X 80,0MM</t>
  </si>
  <si>
    <t>2.1.2.39</t>
  </si>
  <si>
    <t>43</t>
  </si>
  <si>
    <t>GRAMPO DE LINHA VIVA 120,0MM2/ 70,0MM2</t>
  </si>
  <si>
    <t>2.1.2.40</t>
  </si>
  <si>
    <t>44</t>
  </si>
  <si>
    <t>GRAMPO PARALELO ALUMÍNIO 6,05-10,50MM</t>
  </si>
  <si>
    <t>2.1.2.41</t>
  </si>
  <si>
    <t>45</t>
  </si>
  <si>
    <t>GRAMPO PARALELO BRONZE 10,0- 70,0 MM2</t>
  </si>
  <si>
    <t>2.1.2.42</t>
  </si>
  <si>
    <t>46</t>
  </si>
  <si>
    <t xml:space="preserve">ISOLADOR PINO POLIMÉRICO 15,0KV 25MM 1200DAN </t>
  </si>
  <si>
    <t>2.1.2.43</t>
  </si>
  <si>
    <t>47</t>
  </si>
  <si>
    <t>MANILHA CURVA 16,0MM 5000DAN</t>
  </si>
  <si>
    <t>2.1.2.44</t>
  </si>
  <si>
    <t>48</t>
  </si>
  <si>
    <t>MANILHA SAPATILHA AÇO 5000DAN</t>
  </si>
  <si>
    <t>2.1.2.45</t>
  </si>
  <si>
    <t>49</t>
  </si>
  <si>
    <t>OLHAL P/ PARAFUSO FOFO M16-5/8" 5000DAN</t>
  </si>
  <si>
    <t>2.1.2.46</t>
  </si>
  <si>
    <t>50</t>
  </si>
  <si>
    <t>PARA-RAIOS DE DISTRIBUIÇÃO 12KV 10KA POLIMÉRICOS</t>
  </si>
  <si>
    <t>2.1.2.47</t>
  </si>
  <si>
    <t>51</t>
  </si>
  <si>
    <t>PINO ISOLADOR AÇO 16,0MM 154X 38X 192MM</t>
  </si>
  <si>
    <t>2.1.2.48</t>
  </si>
  <si>
    <t>52</t>
  </si>
  <si>
    <t>PROTETOR DE BUCHA DE EQUIPAMENTO 108,0 X 211,0MM</t>
  </si>
  <si>
    <t>2.1.2.49</t>
  </si>
  <si>
    <t>53</t>
  </si>
  <si>
    <t>PROTETOR ESTRIBO/GRAMPO 360X190X200MM</t>
  </si>
  <si>
    <t>2.1.2.50</t>
  </si>
  <si>
    <t>54</t>
  </si>
  <si>
    <t>SAPATILHA AÇO CARBONO 11,11MM</t>
  </si>
  <si>
    <t>2.1.2.51</t>
  </si>
  <si>
    <t>55</t>
  </si>
  <si>
    <t>SELA PARA CRUZETA 110X116MM</t>
  </si>
  <si>
    <t>2.1.2.52</t>
  </si>
  <si>
    <t>56</t>
  </si>
  <si>
    <t>SUPORTE L PARA CHAVE FUSÍVEL E PARA-RAIO</t>
  </si>
  <si>
    <t>2.1.2.53</t>
  </si>
  <si>
    <t>57</t>
  </si>
  <si>
    <t>SUPORTE P/EQUIPAMENTO EM POSTE CIRCULAR 255MM</t>
  </si>
  <si>
    <t>2.1.2.54</t>
  </si>
  <si>
    <t>102102</t>
  </si>
  <si>
    <t xml:space="preserve">TRANSFORMADOR DE DISTRIBUIÇÃO, 30 KVA, TRIFÁSICO, 60 HZ, CLASSE 15 KV, IMERSO EM ÓLEO MINERAL, INSTALAÇÃO EM POSTE (NÃO INCLUSO SUPORTE) - F ORNECIMENTO E INSTALAÇÃO. AF_12/2020 </t>
  </si>
  <si>
    <t>2.1.2.55</t>
  </si>
  <si>
    <t>59</t>
  </si>
  <si>
    <t xml:space="preserve">TERMINAL COMPRESSÃO ALUMÍNIO 50 MM-70 MM </t>
  </si>
  <si>
    <t>2.1.2.56</t>
  </si>
  <si>
    <t>60</t>
  </si>
  <si>
    <t>CABO PROTEGIDO COBERTO A70P - CLASSE 15KV</t>
  </si>
  <si>
    <t>2.1.2.57</t>
  </si>
  <si>
    <t>61</t>
  </si>
  <si>
    <t>CORDOALHA ACO ZINCADO 7,94 MM</t>
  </si>
  <si>
    <t>2.1.3</t>
  </si>
  <si>
    <t>TRECHO 03 - INSTALAÇÃO DE 05 PONTOS DE ILUMINAÇÃO PÚBLICA (CONFORME PROJETO)</t>
  </si>
  <si>
    <t>2.1.3.1</t>
  </si>
  <si>
    <t>2.1.3.2</t>
  </si>
  <si>
    <t xml:space="preserve"> 101554</t>
  </si>
  <si>
    <t>2.1.3.3</t>
  </si>
  <si>
    <t>2.1.3.4</t>
  </si>
  <si>
    <t>2.1.3.5</t>
  </si>
  <si>
    <t>6</t>
  </si>
  <si>
    <t>ARRUELA LISA QUADRADA M18</t>
  </si>
  <si>
    <t>2.1.3.6</t>
  </si>
  <si>
    <t>2.1.3.7</t>
  </si>
  <si>
    <t>2.1.3.8</t>
  </si>
  <si>
    <t>2.1.3.9</t>
  </si>
  <si>
    <t>2.1.3.10</t>
  </si>
  <si>
    <t>2.1.3.11</t>
  </si>
  <si>
    <t>2.1.3.12</t>
  </si>
  <si>
    <t>16</t>
  </si>
  <si>
    <t>CINTA POSTE CIRC AÇO CARB 300,0MM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</si>
  <si>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</si>
  <si>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</si>
  <si>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</si>
  <si>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</si>
  <si>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</si>
  <si>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</si>
  <si>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</si>
  <si>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</si>
  <si>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29</t>
  </si>
  <si>
    <t>PARAF ROSCA DUPLA M16X 300,0MM 2 PORCAS</t>
  </si>
  <si>
    <t>2.1.3.21</t>
  </si>
  <si>
    <t>2.1.3.22</t>
  </si>
  <si>
    <t>2.1.3.23</t>
  </si>
  <si>
    <t>2.1.3.24</t>
  </si>
  <si>
    <t>2.1.3.25</t>
  </si>
  <si>
    <t>2.1.3.26</t>
  </si>
  <si>
    <t>2.1.3.27</t>
  </si>
  <si>
    <t xml:space="preserve"> 39.02.016</t>
  </si>
  <si>
    <t>2.1.4</t>
  </si>
  <si>
    <t>TRECHO 04 - INSTALAÇÃO DE 11 PONTOS DE ILUMINAÇÃO PÚBLICA (CONFORME PROJETO)</t>
  </si>
  <si>
    <t>2.1.4.1</t>
  </si>
  <si>
    <t>2.1.4.2</t>
  </si>
  <si>
    <t>2.1.4.3</t>
  </si>
  <si>
    <t>2.1.4.4</t>
  </si>
  <si>
    <t>2.1.4.5</t>
  </si>
  <si>
    <t>2.1.4.6</t>
  </si>
  <si>
    <t>8</t>
  </si>
  <si>
    <t>CABO ISOLADO COBRE XLPE PT 70,00MM²</t>
  </si>
  <si>
    <t>2.1.4.7</t>
  </si>
  <si>
    <t>2.1.4.8</t>
  </si>
  <si>
    <t>2.1.4.9</t>
  </si>
  <si>
    <t>2.1.4.10</t>
  </si>
  <si>
    <t>2.1.4.11</t>
  </si>
  <si>
    <t>13</t>
  </si>
  <si>
    <t>CINTA POSTE CIRC AÇO CARB 240,0MM</t>
  </si>
  <si>
    <t>2.1.4.12</t>
  </si>
  <si>
    <t>14</t>
  </si>
  <si>
    <t>CINTA POSTE CIRC AÇO CARB 260,0MM</t>
  </si>
  <si>
    <t>2.1.4.13</t>
  </si>
  <si>
    <t>2.1.4.14</t>
  </si>
  <si>
    <t>CONECTOR COMPRESSÃO ALUM 70,0-120,0/ 50- 95MM²</t>
  </si>
  <si>
    <t>2.1.4.15</t>
  </si>
  <si>
    <t>2.1.4.16</t>
  </si>
  <si>
    <t>2.1.4.17</t>
  </si>
  <si>
    <t>2.1.4.18</t>
  </si>
  <si>
    <t>2.1.4.19</t>
  </si>
  <si>
    <t>2.1.4.20</t>
  </si>
  <si>
    <t>MASSA PLASTICA SINTÉTICA CINZA 1000G</t>
  </si>
  <si>
    <t>2.1.4.21</t>
  </si>
  <si>
    <t>2.1.4.22</t>
  </si>
  <si>
    <t xml:space="preserve"> 68.01.650</t>
  </si>
  <si>
    <t>2.1.4.23</t>
  </si>
  <si>
    <t>2.1.4.24</t>
  </si>
  <si>
    <t>31</t>
  </si>
  <si>
    <t>TERMINAL COMPRESSÃO AL 2F 50 MM-70 MM©</t>
  </si>
  <si>
    <t>2.1.4.25</t>
  </si>
  <si>
    <t>2.1.4.26</t>
  </si>
  <si>
    <t>2.1.4.27</t>
  </si>
  <si>
    <t>2.1.4.28</t>
  </si>
  <si>
    <t>2.1.4.29</t>
  </si>
  <si>
    <t>3.</t>
  </si>
  <si>
    <t>SUBSTITUIÇÃO DE LUMINÁRIAS CONVENCIONAIS POR LED EM RUAS DO BAIRRO JARDIM AYUB I</t>
  </si>
  <si>
    <t>3.1</t>
  </si>
  <si>
    <t>SUBSTITUIÇÃO DE LUMINÁRIAS CONVENCIONAIS POR LED</t>
  </si>
  <si>
    <t>3.1.1</t>
  </si>
  <si>
    <t>RUA ANTÔNIO JOSÉ AYUB JR.</t>
  </si>
  <si>
    <t>3.1.1.1</t>
  </si>
  <si>
    <t>04.17.040</t>
  </si>
  <si>
    <t xml:space="preserve">Remoção de aparelho de iluminação ou projetor fixo em poste ou braço </t>
  </si>
  <si>
    <t>3.1.1.2</t>
  </si>
  <si>
    <t>Luminária de LED para iluminação pública, de 120 w, eficiência mínima de 150 lm/W – fornecimento e instalação</t>
  </si>
  <si>
    <t>3.1.1.3</t>
  </si>
  <si>
    <t>Relé fotoelétrico para comando de iluminação externa 1000 w – fornecimento e instalação</t>
  </si>
  <si>
    <t>3.1.2</t>
  </si>
  <si>
    <t>RUA ANTÔNIA DA CONCEIÇÃO SANTOS OLIVEIRA</t>
  </si>
  <si>
    <t>3.1.2.1</t>
  </si>
  <si>
    <t>3.1.2.2</t>
  </si>
  <si>
    <t>3.1.2.3</t>
  </si>
  <si>
    <t>3.1.3</t>
  </si>
  <si>
    <t>RUA BRASÍLIO DE PROENÇA</t>
  </si>
  <si>
    <t>3.1.3.1</t>
  </si>
  <si>
    <t>3.1.3.2</t>
  </si>
  <si>
    <t>3.1.3.3</t>
  </si>
  <si>
    <t>3.1.4</t>
  </si>
  <si>
    <t>RUA HACHIRO YAMASAKI</t>
  </si>
  <si>
    <t>3.1.4.1</t>
  </si>
  <si>
    <t>3.1.4.2</t>
  </si>
  <si>
    <t>3.1.4.3</t>
  </si>
  <si>
    <t>3.1.5</t>
  </si>
  <si>
    <t>RUA JOSÉ OTÁVIO DA SILVA</t>
  </si>
  <si>
    <t>3.1.5.1</t>
  </si>
  <si>
    <t>3.1.5.2</t>
  </si>
  <si>
    <t>3.1.5.3</t>
  </si>
  <si>
    <t>3.1.6</t>
  </si>
  <si>
    <t>RUA ADOLFO RIBEIRO DE CARVALHO</t>
  </si>
  <si>
    <t>3.1.6.1</t>
  </si>
  <si>
    <t>3.1.6.2</t>
  </si>
  <si>
    <t>3.1.6.3</t>
  </si>
  <si>
    <t>3.1.7</t>
  </si>
  <si>
    <t>RUA FRANCISCO NESTLEHNER</t>
  </si>
  <si>
    <t>3.1.7.1</t>
  </si>
  <si>
    <t>3.1.7.2</t>
  </si>
  <si>
    <t>3.1.7.3</t>
  </si>
  <si>
    <t>3.1.8</t>
  </si>
  <si>
    <t>RUA BENEDITO G. DE OLIVEIRA</t>
  </si>
  <si>
    <t>3.1.8.1</t>
  </si>
  <si>
    <t>3.1.8.2</t>
  </si>
  <si>
    <t>3.1.8.3</t>
  </si>
  <si>
    <t>3.1.9</t>
  </si>
  <si>
    <t>RUA KINKITI SIMOMOTO</t>
  </si>
  <si>
    <t>3.1.9.1</t>
  </si>
  <si>
    <t>3.1.9.2</t>
  </si>
  <si>
    <t>3.1.9.3</t>
  </si>
  <si>
    <t>3.1.10</t>
  </si>
  <si>
    <t>RUA BENEDITO FERREIRA DE MOURA</t>
  </si>
  <si>
    <t>3.1.10.1</t>
  </si>
  <si>
    <t>3.1.10.2</t>
  </si>
  <si>
    <t>3.1.10.3</t>
  </si>
  <si>
    <t>3.1.11</t>
  </si>
  <si>
    <t>RUA LUCIDIO DE M. ROSA</t>
  </si>
  <si>
    <t>3.1.11.1</t>
  </si>
  <si>
    <t>3.1.11.2</t>
  </si>
  <si>
    <t>3.1.11.3</t>
  </si>
  <si>
    <t>COLETA DE PREÇOS UNITÁRIOS - PREÇOS DE MERCADO</t>
  </si>
  <si>
    <r>
      <rPr>
        <b/>
        <sz val="13"/>
        <color rgb="FF000000"/>
        <rFont val="Arial"/>
        <charset val="1"/>
      </rPr>
      <t xml:space="preserve">OBJETO: </t>
    </r>
    <r>
      <rPr>
        <sz val="13"/>
        <color rgb="FF000000"/>
        <rFont val="Arial"/>
        <charset val="1"/>
      </rPr>
      <t>INFRAESTRUTURA URBANA COM INSTALAÇÃO DE ILUMINAÇÃO PÚBLICA</t>
    </r>
  </si>
  <si>
    <r>
      <rPr>
        <b/>
        <sz val="13"/>
        <color rgb="FF000000"/>
        <rFont val="Arial"/>
        <charset val="1"/>
      </rPr>
      <t xml:space="preserve">ENDEREÇO: </t>
    </r>
    <r>
      <rPr>
        <sz val="13"/>
        <color rgb="FF000000"/>
        <rFont val="Arial"/>
        <charset val="1"/>
      </rPr>
      <t>RUAS DO BAIRRO JARDIM AYUB I E NA AV. JOSÉ DE NÓBREGA - BAIRRO CAMPO GRANDE</t>
    </r>
  </si>
  <si>
    <r>
      <rPr>
        <b/>
        <sz val="13"/>
        <color rgb="FF000000"/>
        <rFont val="Arial"/>
        <charset val="1"/>
      </rPr>
      <t>MUNICÍPIO:</t>
    </r>
    <r>
      <rPr>
        <sz val="13"/>
        <color rgb="FF000000"/>
        <rFont val="Arial"/>
        <charset val="1"/>
      </rPr>
      <t xml:space="preserve"> PILAR DO SUL-SP</t>
    </r>
  </si>
  <si>
    <r>
      <rPr>
        <b/>
        <sz val="13"/>
        <color rgb="FF000000"/>
        <rFont val="Arial"/>
        <charset val="1"/>
      </rPr>
      <t xml:space="preserve">DEMANDA: </t>
    </r>
    <r>
      <rPr>
        <sz val="13"/>
        <color rgb="FF000000"/>
        <rFont val="Arial"/>
        <charset val="1"/>
      </rPr>
      <t>64403</t>
    </r>
  </si>
  <si>
    <t>Data do orçamento: 09/2023</t>
  </si>
  <si>
    <t>Empresa:</t>
  </si>
  <si>
    <t>MEDIANA</t>
  </si>
  <si>
    <t>Nome:</t>
  </si>
  <si>
    <t>H&amp;F Almeida</t>
  </si>
  <si>
    <t>Comercial Jimenez</t>
  </si>
  <si>
    <t>Elim</t>
  </si>
  <si>
    <t>(Preço do meio)</t>
  </si>
  <si>
    <t>Vendedor:</t>
  </si>
  <si>
    <t>Felipe Almeida</t>
  </si>
  <si>
    <t>Rodolfo do Amaral</t>
  </si>
  <si>
    <t>Ocimar Carvalho</t>
  </si>
  <si>
    <t>Tel. contato:</t>
  </si>
  <si>
    <t>(15) 3278-1898</t>
  </si>
  <si>
    <t>(15)3344-9700</t>
  </si>
  <si>
    <t>(15) 3278-0878</t>
  </si>
  <si>
    <t>UND.</t>
  </si>
  <si>
    <t>R$ UNITÁRIO</t>
  </si>
  <si>
    <t>R$ UNIT. ADOTADO</t>
  </si>
  <si>
    <t>Poste Padrão Trifásico, subterrâneo - cabo 25mm², disjuntor de 100A, com ART, Fornecimento + Instalação</t>
  </si>
  <si>
    <t>Und.</t>
  </si>
  <si>
    <t>Data do orçamento: 12/12/2023</t>
  </si>
  <si>
    <t>BM Business</t>
  </si>
  <si>
    <t>TGS Iluminação</t>
  </si>
  <si>
    <t>Comercial Almeida</t>
  </si>
  <si>
    <t>Aline Gonçalves de Souza Andrade</t>
  </si>
  <si>
    <t>Bruno Marques Andrade Oliveira</t>
  </si>
  <si>
    <t>Felipe</t>
  </si>
  <si>
    <t>(11) 95490 -2953</t>
  </si>
  <si>
    <t>(11) 95705-0941</t>
  </si>
  <si>
    <t>TRANSFORMADOR DE DISTRIBUIÇÃO TRIFÁSICO (Δ-Υ neutro acessível), 30KVA 13,8 kV/220-127 V</t>
  </si>
  <si>
    <t>CRONOGRAMA FÍSICO FINANCEIRO</t>
  </si>
  <si>
    <r>
      <t xml:space="preserve">OBRA: </t>
    </r>
    <r>
      <rPr>
        <sz val="12"/>
        <color rgb="FF000000"/>
        <rFont val="Arial"/>
        <charset val="1"/>
      </rPr>
      <t>INFRAESTRUTURA URBANA COM INSTALAÇÃO DE ILUMINAÇÃO PÚBLICA</t>
    </r>
  </si>
  <si>
    <r>
      <t xml:space="preserve">LOCAL: </t>
    </r>
    <r>
      <rPr>
        <sz val="12"/>
        <color rgb="FF000000"/>
        <rFont val="Arial"/>
        <charset val="1"/>
      </rPr>
      <t>JARDIM AYUB I, AVENIDA JOSÉ DE NÓBREGA -  BAIRRO: CAMPO GRANDE  - PILAR DO SUL - SÃO PAULO</t>
    </r>
  </si>
  <si>
    <r>
      <t>PROPRIETÁRIO:</t>
    </r>
    <r>
      <rPr>
        <sz val="12"/>
        <color rgb="FF000000"/>
        <rFont val="Arial"/>
        <charset val="1"/>
      </rPr>
      <t xml:space="preserve"> PREFEITURA MUNICIPAL DE PILAR DO SUL-SP</t>
    </r>
  </si>
  <si>
    <t xml:space="preserve">ITEM </t>
  </si>
  <si>
    <t xml:space="preserve">30 DIAS </t>
  </si>
  <si>
    <t xml:space="preserve">60 DIAS </t>
  </si>
  <si>
    <t xml:space="preserve">TOTAL </t>
  </si>
  <si>
    <t>TOTAL COM BDI: 25,00%</t>
  </si>
  <si>
    <t>OBS: PRAZO DE EXECUÇÃO DE 60 DIAS A PARTIR DA EMISSÃO DA ORDEM DE SERVIÇO.</t>
  </si>
  <si>
    <t>Pilar do Sul-SP, 28 de junho de 2024.</t>
  </si>
</sst>
</file>

<file path=xl/styles.xml><?xml version="1.0" encoding="utf-8"?>
<styleSheet xmlns="http://schemas.openxmlformats.org/spreadsheetml/2006/main">
  <numFmts count="9">
    <numFmt numFmtId="164" formatCode="_-&quot;R$&quot;* #,##0_-;\-&quot;R$&quot;* #,##0_-;_-&quot;R$&quot;* &quot;-&quot;_-;_-@_-"/>
    <numFmt numFmtId="165" formatCode="_-&quot;R$&quot;* #,##0.00_-;\-&quot;R$&quot;* #,##0.00_-;_-&quot;R$&quot;* &quot;-&quot;??_-;_-@_-"/>
    <numFmt numFmtId="166" formatCode="_(&quot;R$ &quot;* #,##0.00_);_(&quot;R$ &quot;* \(#,##0.00\);_(&quot;R$ &quot;* \-??_);_(@_)"/>
    <numFmt numFmtId="167" formatCode="_-* #,##0.00_-;\-* #,##0.00_-;_-* \-??_-;_-@_-"/>
    <numFmt numFmtId="168" formatCode="&quot;R$&quot;\ #,##0.00"/>
    <numFmt numFmtId="169" formatCode="&quot;R$&quot;\ #,##0.000"/>
    <numFmt numFmtId="170" formatCode="d/mmm"/>
    <numFmt numFmtId="171" formatCode="&quot;R$&quot;\ #,##0.00_);[Red]\(&quot;R$&quot;\ #,###.00\)"/>
    <numFmt numFmtId="172" formatCode="&quot;R$ &quot;#,##0.00"/>
  </numFmts>
  <fonts count="31">
    <font>
      <sz val="11"/>
      <color rgb="FF000000"/>
      <name val="Calibri"/>
      <charset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charset val="1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charset val="1"/>
    </font>
    <font>
      <sz val="13"/>
      <color rgb="FF000000"/>
      <name val="Arial"/>
      <charset val="1"/>
    </font>
    <font>
      <b/>
      <sz val="13"/>
      <color rgb="FF000000"/>
      <name val="Arial"/>
      <charset val="1"/>
    </font>
    <font>
      <sz val="13"/>
      <name val="Arial"/>
      <charset val="1"/>
    </font>
    <font>
      <sz val="10"/>
      <color rgb="FF000000"/>
      <name val="MS Sans Serif"/>
      <charset val="1"/>
    </font>
    <font>
      <sz val="10"/>
      <color rgb="FF000000"/>
      <name val="Calibri"/>
      <charset val="1"/>
    </font>
    <font>
      <b/>
      <sz val="10"/>
      <color rgb="FF000000"/>
      <name val="MS Sans Serif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name val="Arial"/>
    </font>
    <font>
      <b/>
      <sz val="10"/>
      <name val="Arial"/>
      <charset val="1"/>
    </font>
    <font>
      <sz val="10"/>
      <name val="Arial"/>
      <charset val="1"/>
    </font>
    <font>
      <sz val="10"/>
      <name val="Arial"/>
    </font>
    <font>
      <b/>
      <sz val="12"/>
      <name val="Arial"/>
      <charset val="1"/>
    </font>
    <font>
      <sz val="12"/>
      <color rgb="FF000000"/>
      <name val="Calibri"/>
      <charset val="1"/>
    </font>
    <font>
      <sz val="13"/>
      <name val="Arial"/>
      <charset val="134"/>
    </font>
    <font>
      <sz val="12"/>
      <name val="Arial"/>
      <charset val="1"/>
    </font>
    <font>
      <sz val="10"/>
      <name val="Arial"/>
      <charset val="134"/>
    </font>
    <font>
      <b/>
      <sz val="9.85"/>
      <color rgb="FF000000"/>
      <name val="Times New Roman"/>
      <charset val="1"/>
    </font>
    <font>
      <sz val="11"/>
      <color indexed="8"/>
      <name val="Calibri"/>
    </font>
    <font>
      <sz val="12"/>
      <color rgb="FF000000"/>
      <name val="Arial"/>
      <charset val="1"/>
    </font>
    <font>
      <sz val="10"/>
      <color rgb="FF000000"/>
      <name val="Times New Roman"/>
      <charset val="1"/>
    </font>
    <font>
      <sz val="11"/>
      <color rgb="FF000000"/>
      <name val="Calibri"/>
      <charset val="1"/>
    </font>
  </fonts>
  <fills count="1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EEE"/>
      </patternFill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rgb="FFB2B2B2"/>
      </patternFill>
    </fill>
    <fill>
      <patternFill patternType="solid">
        <fgColor theme="0" tint="-0.34998626667073579"/>
        <bgColor rgb="FFB2B2B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D0CECE"/>
        <bgColor rgb="FFD9D9D9"/>
      </patternFill>
    </fill>
    <fill>
      <patternFill patternType="solid">
        <fgColor rgb="FFEEEEEE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B2B2B2"/>
      </patternFill>
    </fill>
    <fill>
      <patternFill patternType="solid">
        <fgColor rgb="FFB2B2B2"/>
        <bgColor rgb="FFAFABA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/>
    <xf numFmtId="164" fontId="25" fillId="0" borderId="0" applyBorder="0" applyAlignment="0" applyProtection="0"/>
    <xf numFmtId="165" fontId="25" fillId="0" borderId="0" applyBorder="0" applyAlignment="0" applyProtection="0"/>
    <xf numFmtId="9" fontId="30" fillId="0" borderId="0" applyBorder="0" applyProtection="0"/>
    <xf numFmtId="0" fontId="19" fillId="0" borderId="0"/>
    <xf numFmtId="0" fontId="12" fillId="0" borderId="0"/>
    <xf numFmtId="0" fontId="26" fillId="0" borderId="0" applyBorder="0" applyProtection="0">
      <alignment vertical="center"/>
    </xf>
    <xf numFmtId="166" fontId="19" fillId="0" borderId="0" applyBorder="0" applyProtection="0"/>
    <xf numFmtId="167" fontId="30" fillId="0" borderId="0" applyBorder="0" applyProtection="0"/>
    <xf numFmtId="0" fontId="27" fillId="0" borderId="0"/>
  </cellStyleXfs>
  <cellXfs count="271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168" fontId="6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68" fontId="6" fillId="3" borderId="2" xfId="0" applyNumberFormat="1" applyFont="1" applyFill="1" applyBorder="1" applyAlignment="1">
      <alignment horizontal="center" vertical="center" wrapText="1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1" fillId="4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10" fontId="6" fillId="0" borderId="0" xfId="0" applyNumberFormat="1" applyFont="1" applyFill="1" applyBorder="1" applyAlignment="1"/>
    <xf numFmtId="9" fontId="6" fillId="0" borderId="0" xfId="3" applyNumberFormat="1" applyFont="1" applyBorder="1"/>
    <xf numFmtId="0" fontId="1" fillId="0" borderId="0" xfId="0" applyFont="1" applyFill="1" applyBorder="1" applyAlignment="1"/>
    <xf numFmtId="169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68" fontId="1" fillId="0" borderId="0" xfId="0" applyNumberFormat="1" applyFont="1" applyFill="1" applyBorder="1" applyAlignment="1"/>
    <xf numFmtId="0" fontId="8" fillId="5" borderId="0" xfId="4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5" applyFont="1" applyFill="1" applyAlignment="1">
      <alignment horizontal="left" vertical="center"/>
    </xf>
    <xf numFmtId="0" fontId="10" fillId="0" borderId="0" xfId="5" applyFont="1" applyFill="1" applyBorder="1" applyAlignment="1">
      <alignment horizontal="left" vertical="center"/>
    </xf>
    <xf numFmtId="0" fontId="9" fillId="0" borderId="0" xfId="5" applyFont="1" applyFill="1" applyAlignment="1">
      <alignment horizontal="left" vertical="center" wrapText="1"/>
    </xf>
    <xf numFmtId="0" fontId="8" fillId="5" borderId="0" xfId="4" applyFont="1" applyFill="1" applyAlignment="1">
      <alignment horizontal="center" vertical="center"/>
    </xf>
    <xf numFmtId="0" fontId="11" fillId="5" borderId="8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8" fillId="7" borderId="9" xfId="4" applyFont="1" applyFill="1" applyBorder="1" applyAlignment="1">
      <alignment horizontal="center" vertical="center"/>
    </xf>
    <xf numFmtId="0" fontId="11" fillId="5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horizontal="center" vertical="center" wrapText="1" shrinkToFit="1"/>
    </xf>
    <xf numFmtId="0" fontId="11" fillId="5" borderId="2" xfId="4" applyFont="1" applyFill="1" applyBorder="1" applyAlignment="1">
      <alignment horizontal="right" vertical="center"/>
    </xf>
    <xf numFmtId="0" fontId="8" fillId="7" borderId="14" xfId="4" applyFont="1" applyFill="1" applyBorder="1" applyAlignment="1">
      <alignment horizontal="center" vertical="center"/>
    </xf>
    <xf numFmtId="0" fontId="8" fillId="7" borderId="2" xfId="4" applyFont="1" applyFill="1" applyBorder="1" applyAlignment="1">
      <alignment horizontal="center" vertical="center"/>
    </xf>
    <xf numFmtId="0" fontId="8" fillId="7" borderId="2" xfId="4" applyFont="1" applyFill="1" applyBorder="1" applyAlignment="1">
      <alignment horizontal="center" vertical="center" shrinkToFit="1"/>
    </xf>
    <xf numFmtId="0" fontId="8" fillId="7" borderId="15" xfId="4" applyFont="1" applyFill="1" applyBorder="1" applyAlignment="1">
      <alignment horizontal="center" vertical="center" wrapText="1" shrinkToFit="1"/>
    </xf>
    <xf numFmtId="0" fontId="8" fillId="0" borderId="16" xfId="4" applyFont="1" applyBorder="1" applyAlignment="1">
      <alignment horizontal="center" vertical="center"/>
    </xf>
    <xf numFmtId="0" fontId="11" fillId="5" borderId="17" xfId="4" applyFont="1" applyFill="1" applyBorder="1" applyAlignment="1">
      <alignment horizontal="justify" vertical="center" wrapText="1"/>
    </xf>
    <xf numFmtId="0" fontId="11" fillId="5" borderId="17" xfId="4" applyFont="1" applyFill="1" applyBorder="1" applyAlignment="1">
      <alignment horizontal="center" vertical="center"/>
    </xf>
    <xf numFmtId="171" fontId="11" fillId="5" borderId="17" xfId="7" applyNumberFormat="1" applyFont="1" applyFill="1" applyBorder="1" applyAlignment="1" applyProtection="1">
      <alignment horizontal="right" vertical="center"/>
    </xf>
    <xf numFmtId="171" fontId="11" fillId="5" borderId="18" xfId="7" applyNumberFormat="1" applyFont="1" applyFill="1" applyBorder="1" applyAlignment="1" applyProtection="1">
      <alignment horizontal="right" vertical="center"/>
    </xf>
    <xf numFmtId="0" fontId="9" fillId="8" borderId="0" xfId="0" applyFont="1" applyFill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5" borderId="0" xfId="4" applyFont="1" applyFill="1" applyBorder="1" applyAlignment="1">
      <alignment horizontal="left" vertical="center" wrapText="1"/>
    </xf>
    <xf numFmtId="0" fontId="11" fillId="5" borderId="0" xfId="4" applyFont="1" applyFill="1" applyBorder="1" applyAlignment="1">
      <alignment horizontal="center" vertical="center"/>
    </xf>
    <xf numFmtId="166" fontId="11" fillId="5" borderId="0" xfId="7" applyFont="1" applyFill="1" applyBorder="1" applyAlignment="1" applyProtection="1">
      <alignment horizontal="left" vertical="center"/>
    </xf>
    <xf numFmtId="0" fontId="11" fillId="0" borderId="21" xfId="4" applyFont="1" applyFill="1" applyBorder="1" applyAlignment="1">
      <alignment horizontal="center" vertical="center"/>
    </xf>
    <xf numFmtId="0" fontId="8" fillId="7" borderId="2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right" vertical="center"/>
    </xf>
    <xf numFmtId="0" fontId="11" fillId="0" borderId="2" xfId="4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11" fillId="5" borderId="2" xfId="4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1" fontId="11" fillId="0" borderId="2" xfId="0" applyNumberFormat="1" applyFont="1" applyBorder="1" applyAlignment="1">
      <alignment horizontal="right" vertical="center"/>
    </xf>
    <xf numFmtId="171" fontId="11" fillId="5" borderId="15" xfId="7" applyNumberFormat="1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11" fillId="5" borderId="17" xfId="4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171" fontId="11" fillId="0" borderId="17" xfId="0" applyNumberFormat="1" applyFont="1" applyBorder="1" applyAlignment="1">
      <alignment horizontal="right" vertical="center"/>
    </xf>
    <xf numFmtId="0" fontId="9" fillId="0" borderId="0" xfId="0" applyFont="1"/>
    <xf numFmtId="0" fontId="12" fillId="0" borderId="0" xfId="5" applyFont="1"/>
    <xf numFmtId="0" fontId="13" fillId="0" borderId="0" xfId="0" applyFont="1"/>
    <xf numFmtId="0" fontId="12" fillId="0" borderId="0" xfId="5" applyFont="1" applyAlignment="1">
      <alignment vertical="center"/>
    </xf>
    <xf numFmtId="0" fontId="14" fillId="0" borderId="0" xfId="5" applyFont="1"/>
    <xf numFmtId="49" fontId="12" fillId="0" borderId="0" xfId="5" applyNumberFormat="1" applyFont="1" applyAlignment="1">
      <alignment horizontal="center"/>
    </xf>
    <xf numFmtId="0" fontId="12" fillId="0" borderId="0" xfId="5" applyFont="1" applyAlignment="1">
      <alignment horizontal="left" wrapText="1"/>
    </xf>
    <xf numFmtId="4" fontId="12" fillId="0" borderId="0" xfId="5" applyNumberFormat="1" applyFont="1"/>
    <xf numFmtId="4" fontId="12" fillId="0" borderId="0" xfId="8" applyNumberFormat="1" applyFont="1" applyBorder="1" applyAlignment="1" applyProtection="1">
      <alignment horizontal="right" vertical="center"/>
    </xf>
    <xf numFmtId="4" fontId="12" fillId="0" borderId="0" xfId="8" applyNumberFormat="1" applyFont="1" applyAlignment="1" applyProtection="1">
      <alignment horizontal="right" vertical="center"/>
    </xf>
    <xf numFmtId="0" fontId="15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vertical="center" wrapText="1"/>
    </xf>
    <xf numFmtId="0" fontId="16" fillId="0" borderId="0" xfId="5" applyFont="1" applyFill="1" applyBorder="1" applyAlignment="1">
      <alignment vertical="center" wrapText="1"/>
    </xf>
    <xf numFmtId="0" fontId="15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center" vertical="center" wrapText="1"/>
    </xf>
    <xf numFmtId="0" fontId="12" fillId="0" borderId="0" xfId="5" applyFont="1" applyFill="1" applyBorder="1"/>
    <xf numFmtId="0" fontId="16" fillId="0" borderId="0" xfId="5" applyFont="1" applyFill="1" applyAlignment="1">
      <alignment horizontal="center" vertical="center" wrapText="1"/>
    </xf>
    <xf numFmtId="0" fontId="16" fillId="0" borderId="0" xfId="5" applyFont="1" applyFill="1" applyBorder="1"/>
    <xf numFmtId="0" fontId="13" fillId="0" borderId="0" xfId="0" applyFont="1" applyFill="1" applyBorder="1"/>
    <xf numFmtId="0" fontId="16" fillId="5" borderId="0" xfId="5" applyFont="1" applyFill="1" applyBorder="1"/>
    <xf numFmtId="0" fontId="15" fillId="5" borderId="0" xfId="5" applyFont="1" applyFill="1" applyBorder="1" applyAlignment="1">
      <alignment horizontal="center" vertical="center" wrapText="1"/>
    </xf>
    <xf numFmtId="0" fontId="15" fillId="5" borderId="0" xfId="5" applyFont="1" applyFill="1" applyBorder="1" applyAlignment="1">
      <alignment horizontal="left" vertical="center" wrapText="1"/>
    </xf>
    <xf numFmtId="49" fontId="15" fillId="5" borderId="0" xfId="8" applyNumberFormat="1" applyFont="1" applyFill="1" applyBorder="1" applyAlignment="1" applyProtection="1">
      <alignment horizontal="center" vertical="center"/>
    </xf>
    <xf numFmtId="4" fontId="18" fillId="10" borderId="2" xfId="8" applyNumberFormat="1" applyFont="1" applyFill="1" applyBorder="1" applyAlignment="1" applyProtection="1">
      <alignment horizontal="center" vertical="center"/>
    </xf>
    <xf numFmtId="0" fontId="15" fillId="11" borderId="14" xfId="5" applyFont="1" applyFill="1" applyBorder="1" applyAlignment="1">
      <alignment horizontal="center" vertical="center"/>
    </xf>
    <xf numFmtId="0" fontId="15" fillId="12" borderId="14" xfId="5" applyFont="1" applyFill="1" applyBorder="1" applyAlignment="1">
      <alignment horizontal="center" vertical="center" wrapText="1"/>
    </xf>
    <xf numFmtId="0" fontId="15" fillId="12" borderId="2" xfId="5" applyFont="1" applyFill="1" applyBorder="1" applyAlignment="1">
      <alignment vertical="center" wrapText="1"/>
    </xf>
    <xf numFmtId="171" fontId="15" fillId="12" borderId="2" xfId="5" applyNumberFormat="1" applyFont="1" applyFill="1" applyBorder="1" applyAlignment="1">
      <alignment horizontal="right" vertical="center" wrapText="1"/>
    </xf>
    <xf numFmtId="0" fontId="16" fillId="0" borderId="14" xfId="5" applyFont="1" applyFill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/>
    </xf>
    <xf numFmtId="49" fontId="16" fillId="0" borderId="2" xfId="5" applyNumberFormat="1" applyFont="1" applyFill="1" applyBorder="1" applyAlignment="1">
      <alignment horizontal="center" vertical="center"/>
    </xf>
    <xf numFmtId="0" fontId="16" fillId="0" borderId="2" xfId="5" applyFont="1" applyFill="1" applyBorder="1" applyAlignment="1">
      <alignment horizontal="left" vertical="center" wrapText="1"/>
    </xf>
    <xf numFmtId="0" fontId="16" fillId="0" borderId="2" xfId="5" applyFont="1" applyFill="1" applyBorder="1" applyAlignment="1">
      <alignment horizontal="center" vertical="center" wrapText="1"/>
    </xf>
    <xf numFmtId="167" fontId="19" fillId="0" borderId="2" xfId="8" applyFont="1" applyFill="1" applyBorder="1" applyAlignment="1" applyProtection="1">
      <alignment horizontal="center" vertical="center"/>
    </xf>
    <xf numFmtId="171" fontId="16" fillId="0" borderId="2" xfId="3" applyNumberFormat="1" applyFont="1" applyFill="1" applyBorder="1" applyAlignment="1" applyProtection="1">
      <alignment horizontal="right" vertical="center" wrapText="1"/>
    </xf>
    <xf numFmtId="171" fontId="16" fillId="0" borderId="2" xfId="3" applyNumberFormat="1" applyFont="1" applyFill="1" applyBorder="1" applyAlignment="1" applyProtection="1">
      <alignment horizontal="right" vertical="center" wrapText="1"/>
    </xf>
    <xf numFmtId="0" fontId="15" fillId="12" borderId="14" xfId="5" applyFont="1" applyFill="1" applyBorder="1" applyAlignment="1">
      <alignment horizontal="center" vertical="center"/>
    </xf>
    <xf numFmtId="0" fontId="15" fillId="12" borderId="2" xfId="5" applyFont="1" applyFill="1" applyBorder="1" applyAlignment="1">
      <alignment horizontal="center" vertical="center"/>
    </xf>
    <xf numFmtId="49" fontId="15" fillId="12" borderId="2" xfId="5" applyNumberFormat="1" applyFont="1" applyFill="1" applyBorder="1" applyAlignment="1">
      <alignment horizontal="center" vertical="center"/>
    </xf>
    <xf numFmtId="4" fontId="16" fillId="12" borderId="2" xfId="5" applyNumberFormat="1" applyFont="1" applyFill="1" applyBorder="1" applyAlignment="1">
      <alignment horizontal="center" vertical="center"/>
    </xf>
    <xf numFmtId="171" fontId="16" fillId="12" borderId="2" xfId="8" applyNumberFormat="1" applyFont="1" applyFill="1" applyBorder="1" applyAlignment="1" applyProtection="1">
      <alignment horizontal="right" vertical="center"/>
    </xf>
    <xf numFmtId="171" fontId="16" fillId="12" borderId="2" xfId="8" applyNumberFormat="1" applyFont="1" applyFill="1" applyBorder="1" applyAlignment="1" applyProtection="1">
      <alignment horizontal="right" vertical="center" wrapText="1"/>
    </xf>
    <xf numFmtId="167" fontId="16" fillId="0" borderId="2" xfId="8" applyFont="1" applyFill="1" applyBorder="1" applyAlignment="1" applyProtection="1">
      <alignment horizontal="center" vertical="center"/>
    </xf>
    <xf numFmtId="171" fontId="16" fillId="0" borderId="2" xfId="8" applyNumberFormat="1" applyFont="1" applyFill="1" applyBorder="1" applyAlignment="1" applyProtection="1">
      <alignment horizontal="right" vertical="center" wrapText="1"/>
    </xf>
    <xf numFmtId="0" fontId="16" fillId="0" borderId="16" xfId="5" applyFont="1" applyFill="1" applyBorder="1" applyAlignment="1">
      <alignment horizontal="center" vertical="center"/>
    </xf>
    <xf numFmtId="0" fontId="16" fillId="0" borderId="17" xfId="5" applyFont="1" applyFill="1" applyBorder="1" applyAlignment="1">
      <alignment horizontal="center" vertical="center"/>
    </xf>
    <xf numFmtId="49" fontId="16" fillId="0" borderId="17" xfId="5" applyNumberFormat="1" applyFont="1" applyFill="1" applyBorder="1" applyAlignment="1">
      <alignment horizontal="center" vertical="center"/>
    </xf>
    <xf numFmtId="0" fontId="16" fillId="0" borderId="17" xfId="5" applyFont="1" applyFill="1" applyBorder="1" applyAlignment="1">
      <alignment horizontal="left" vertical="center" wrapText="1"/>
    </xf>
    <xf numFmtId="0" fontId="16" fillId="0" borderId="17" xfId="5" applyFont="1" applyFill="1" applyBorder="1" applyAlignment="1">
      <alignment horizontal="center" vertical="center" wrapText="1"/>
    </xf>
    <xf numFmtId="167" fontId="16" fillId="0" borderId="17" xfId="8" applyFont="1" applyFill="1" applyBorder="1" applyAlignment="1" applyProtection="1">
      <alignment horizontal="center" vertical="center"/>
    </xf>
    <xf numFmtId="171" fontId="16" fillId="0" borderId="17" xfId="8" applyNumberFormat="1" applyFont="1" applyFill="1" applyBorder="1" applyAlignment="1" applyProtection="1">
      <alignment horizontal="right" vertical="center" wrapText="1"/>
    </xf>
    <xf numFmtId="171" fontId="16" fillId="0" borderId="17" xfId="3" applyNumberFormat="1" applyFont="1" applyFill="1" applyBorder="1" applyAlignment="1" applyProtection="1">
      <alignment horizontal="right" vertical="center" wrapText="1"/>
    </xf>
    <xf numFmtId="0" fontId="15" fillId="13" borderId="14" xfId="5" applyFont="1" applyFill="1" applyBorder="1" applyAlignment="1">
      <alignment horizontal="center" vertical="center"/>
    </xf>
    <xf numFmtId="0" fontId="15" fillId="13" borderId="2" xfId="5" applyFont="1" applyFill="1" applyBorder="1" applyAlignment="1">
      <alignment horizontal="center" vertical="center"/>
    </xf>
    <xf numFmtId="49" fontId="15" fillId="13" borderId="2" xfId="5" applyNumberFormat="1" applyFont="1" applyFill="1" applyBorder="1" applyAlignment="1">
      <alignment horizontal="center" vertical="center"/>
    </xf>
    <xf numFmtId="0" fontId="15" fillId="13" borderId="2" xfId="5" applyFont="1" applyFill="1" applyBorder="1" applyAlignment="1">
      <alignment vertical="center" wrapText="1"/>
    </xf>
    <xf numFmtId="4" fontId="16" fillId="13" borderId="2" xfId="5" applyNumberFormat="1" applyFont="1" applyFill="1" applyBorder="1" applyAlignment="1">
      <alignment vertical="center"/>
    </xf>
    <xf numFmtId="171" fontId="16" fillId="13" borderId="2" xfId="8" applyNumberFormat="1" applyFont="1" applyFill="1" applyBorder="1" applyAlignment="1" applyProtection="1">
      <alignment horizontal="right" vertical="center"/>
    </xf>
    <xf numFmtId="171" fontId="16" fillId="13" borderId="2" xfId="8" applyNumberFormat="1" applyFont="1" applyFill="1" applyBorder="1" applyAlignment="1" applyProtection="1">
      <alignment horizontal="right" vertical="center" wrapText="1"/>
    </xf>
    <xf numFmtId="0" fontId="16" fillId="14" borderId="14" xfId="5" applyFont="1" applyFill="1" applyBorder="1" applyAlignment="1">
      <alignment horizontal="center" vertical="center"/>
    </xf>
    <xf numFmtId="0" fontId="16" fillId="14" borderId="2" xfId="5" applyFont="1" applyFill="1" applyBorder="1" applyAlignment="1">
      <alignment horizontal="center" vertical="center"/>
    </xf>
    <xf numFmtId="49" fontId="16" fillId="14" borderId="2" xfId="5" applyNumberFormat="1" applyFont="1" applyFill="1" applyBorder="1" applyAlignment="1">
      <alignment horizontal="center" vertical="center"/>
    </xf>
    <xf numFmtId="0" fontId="15" fillId="14" borderId="2" xfId="5" applyFont="1" applyFill="1" applyBorder="1" applyAlignment="1">
      <alignment horizontal="left" vertical="center" wrapText="1"/>
    </xf>
    <xf numFmtId="0" fontId="16" fillId="14" borderId="2" xfId="5" applyFont="1" applyFill="1" applyBorder="1" applyAlignment="1">
      <alignment horizontal="center" vertical="center" wrapText="1"/>
    </xf>
    <xf numFmtId="167" fontId="15" fillId="14" borderId="2" xfId="8" applyFont="1" applyFill="1" applyBorder="1" applyAlignment="1" applyProtection="1">
      <alignment horizontal="right" vertical="center"/>
    </xf>
    <xf numFmtId="171" fontId="16" fillId="14" borderId="2" xfId="8" applyNumberFormat="1" applyFont="1" applyFill="1" applyBorder="1" applyAlignment="1" applyProtection="1">
      <alignment horizontal="right" vertical="center" wrapText="1"/>
    </xf>
    <xf numFmtId="171" fontId="16" fillId="14" borderId="2" xfId="3" applyNumberFormat="1" applyFont="1" applyFill="1" applyBorder="1" applyAlignment="1" applyProtection="1">
      <alignment horizontal="right" vertical="center" wrapText="1"/>
    </xf>
    <xf numFmtId="0" fontId="19" fillId="0" borderId="2" xfId="0" applyFont="1" applyFill="1" applyBorder="1" applyAlignment="1">
      <alignment horizontal="center" vertical="center"/>
    </xf>
    <xf numFmtId="167" fontId="16" fillId="0" borderId="2" xfId="8" applyFont="1" applyFill="1" applyBorder="1" applyAlignment="1" applyProtection="1">
      <alignment horizontal="right" vertical="center"/>
    </xf>
    <xf numFmtId="0" fontId="12" fillId="0" borderId="0" xfId="5" applyFont="1" applyFill="1"/>
    <xf numFmtId="0" fontId="13" fillId="0" borderId="0" xfId="0" applyFont="1" applyFill="1"/>
    <xf numFmtId="49" fontId="20" fillId="0" borderId="15" xfId="2" applyNumberFormat="1" applyFont="1" applyFill="1" applyBorder="1" applyAlignment="1" applyProtection="1">
      <alignment horizontal="center" vertical="center" wrapText="1"/>
    </xf>
    <xf numFmtId="17" fontId="20" fillId="0" borderId="15" xfId="2" applyNumberFormat="1" applyFont="1" applyFill="1" applyBorder="1" applyAlignment="1" applyProtection="1">
      <alignment horizontal="center" vertical="center" wrapText="1"/>
    </xf>
    <xf numFmtId="10" fontId="20" fillId="0" borderId="15" xfId="2" applyNumberFormat="1" applyFont="1" applyFill="1" applyBorder="1" applyAlignment="1" applyProtection="1">
      <alignment horizontal="center" vertical="center"/>
    </xf>
    <xf numFmtId="10" fontId="20" fillId="0" borderId="18" xfId="2" applyNumberFormat="1" applyFont="1" applyFill="1" applyBorder="1" applyAlignment="1" applyProtection="1">
      <alignment horizontal="center" vertical="center"/>
    </xf>
    <xf numFmtId="4" fontId="18" fillId="10" borderId="15" xfId="8" applyNumberFormat="1" applyFont="1" applyFill="1" applyBorder="1" applyAlignment="1" applyProtection="1">
      <alignment horizontal="center" vertical="center"/>
    </xf>
    <xf numFmtId="171" fontId="15" fillId="11" borderId="2" xfId="8" applyNumberFormat="1" applyFont="1" applyFill="1" applyBorder="1" applyAlignment="1" applyProtection="1">
      <alignment horizontal="right" vertical="center"/>
    </xf>
    <xf numFmtId="171" fontId="15" fillId="11" borderId="15" xfId="8" applyNumberFormat="1" applyFont="1" applyFill="1" applyBorder="1" applyAlignment="1" applyProtection="1">
      <alignment horizontal="right" vertical="center"/>
    </xf>
    <xf numFmtId="167" fontId="19" fillId="0" borderId="2" xfId="8" applyFont="1" applyBorder="1" applyAlignment="1" applyProtection="1">
      <alignment horizontal="center" vertical="center"/>
    </xf>
    <xf numFmtId="171" fontId="15" fillId="12" borderId="2" xfId="8" applyNumberFormat="1" applyFont="1" applyFill="1" applyBorder="1" applyAlignment="1" applyProtection="1">
      <alignment horizontal="right" vertical="center"/>
    </xf>
    <xf numFmtId="171" fontId="15" fillId="12" borderId="15" xfId="8" applyNumberFormat="1" applyFont="1" applyFill="1" applyBorder="1" applyAlignment="1" applyProtection="1">
      <alignment horizontal="right" vertical="center"/>
    </xf>
    <xf numFmtId="171" fontId="16" fillId="0" borderId="15" xfId="8" applyNumberFormat="1" applyFont="1" applyFill="1" applyBorder="1" applyAlignment="1" applyProtection="1">
      <alignment horizontal="right" vertical="center"/>
    </xf>
    <xf numFmtId="167" fontId="14" fillId="0" borderId="0" xfId="5" applyNumberFormat="1" applyFont="1"/>
    <xf numFmtId="171" fontId="16" fillId="0" borderId="15" xfId="8" applyNumberFormat="1" applyFont="1" applyFill="1" applyBorder="1" applyAlignment="1" applyProtection="1">
      <alignment horizontal="right" vertical="center"/>
    </xf>
    <xf numFmtId="171" fontId="16" fillId="0" borderId="18" xfId="8" applyNumberFormat="1" applyFont="1" applyFill="1" applyBorder="1" applyAlignment="1" applyProtection="1">
      <alignment horizontal="right" vertical="center"/>
    </xf>
    <xf numFmtId="171" fontId="15" fillId="13" borderId="2" xfId="8" applyNumberFormat="1" applyFont="1" applyFill="1" applyBorder="1" applyAlignment="1" applyProtection="1">
      <alignment horizontal="right" vertical="center"/>
    </xf>
    <xf numFmtId="171" fontId="15" fillId="13" borderId="15" xfId="8" applyNumberFormat="1" applyFont="1" applyFill="1" applyBorder="1" applyAlignment="1" applyProtection="1">
      <alignment horizontal="right" vertical="center"/>
    </xf>
    <xf numFmtId="171" fontId="15" fillId="14" borderId="2" xfId="3" applyNumberFormat="1" applyFont="1" applyFill="1" applyBorder="1" applyAlignment="1" applyProtection="1">
      <alignment horizontal="right" vertical="center" wrapText="1"/>
    </xf>
    <xf numFmtId="171" fontId="15" fillId="14" borderId="15" xfId="3" applyNumberFormat="1" applyFont="1" applyFill="1" applyBorder="1" applyAlignment="1" applyProtection="1">
      <alignment horizontal="righ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 wrapText="1"/>
    </xf>
    <xf numFmtId="171" fontId="16" fillId="0" borderId="17" xfId="3" applyNumberFormat="1" applyFont="1" applyFill="1" applyBorder="1" applyAlignment="1" applyProtection="1">
      <alignment horizontal="right" vertical="center" wrapText="1"/>
    </xf>
    <xf numFmtId="0" fontId="15" fillId="11" borderId="25" xfId="5" applyFont="1" applyFill="1" applyBorder="1" applyAlignment="1">
      <alignment horizontal="center" vertical="center"/>
    </xf>
    <xf numFmtId="0" fontId="15" fillId="14" borderId="14" xfId="5" applyFont="1" applyFill="1" applyBorder="1" applyAlignment="1">
      <alignment horizontal="center" vertical="center"/>
    </xf>
    <xf numFmtId="0" fontId="15" fillId="14" borderId="2" xfId="5" applyFont="1" applyFill="1" applyBorder="1" applyAlignment="1">
      <alignment horizontal="center" vertical="center"/>
    </xf>
    <xf numFmtId="49" fontId="15" fillId="14" borderId="2" xfId="5" applyNumberFormat="1" applyFont="1" applyFill="1" applyBorder="1" applyAlignment="1">
      <alignment horizontal="center" vertical="center"/>
    </xf>
    <xf numFmtId="0" fontId="15" fillId="14" borderId="2" xfId="5" applyFont="1" applyFill="1" applyBorder="1" applyAlignment="1">
      <alignment vertical="center" wrapText="1"/>
    </xf>
    <xf numFmtId="4" fontId="16" fillId="14" borderId="2" xfId="5" applyNumberFormat="1" applyFont="1" applyFill="1" applyBorder="1" applyAlignment="1">
      <alignment vertical="center"/>
    </xf>
    <xf numFmtId="171" fontId="16" fillId="14" borderId="2" xfId="8" applyNumberFormat="1" applyFont="1" applyFill="1" applyBorder="1" applyAlignment="1" applyProtection="1">
      <alignment horizontal="right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14" borderId="2" xfId="0" applyFont="1" applyFill="1" applyBorder="1" applyAlignment="1">
      <alignment horizontal="center" vertical="center"/>
    </xf>
    <xf numFmtId="171" fontId="15" fillId="14" borderId="2" xfId="5" applyNumberFormat="1" applyFont="1" applyFill="1" applyBorder="1" applyAlignment="1">
      <alignment horizontal="right" vertical="center"/>
    </xf>
    <xf numFmtId="0" fontId="16" fillId="0" borderId="14" xfId="5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171" fontId="16" fillId="0" borderId="2" xfId="3" applyNumberFormat="1" applyFont="1" applyFill="1" applyBorder="1" applyAlignment="1" applyProtection="1">
      <alignment horizontal="right" vertical="center" wrapText="1"/>
    </xf>
    <xf numFmtId="0" fontId="16" fillId="0" borderId="16" xfId="5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 wrapText="1"/>
    </xf>
    <xf numFmtId="171" fontId="16" fillId="0" borderId="17" xfId="3" applyNumberFormat="1" applyFont="1" applyFill="1" applyBorder="1" applyAlignment="1" applyProtection="1">
      <alignment horizontal="right" vertical="center" wrapText="1"/>
    </xf>
    <xf numFmtId="0" fontId="16" fillId="0" borderId="0" xfId="5" applyFont="1" applyBorder="1" applyAlignment="1">
      <alignment horizontal="center" vertical="center"/>
    </xf>
    <xf numFmtId="49" fontId="16" fillId="0" borderId="0" xfId="5" applyNumberFormat="1" applyFont="1" applyBorder="1" applyAlignment="1">
      <alignment horizontal="center" vertical="center"/>
    </xf>
    <xf numFmtId="0" fontId="16" fillId="0" borderId="0" xfId="5" applyFont="1" applyBorder="1" applyAlignment="1">
      <alignment horizontal="left" vertical="center" wrapText="1"/>
    </xf>
    <xf numFmtId="0" fontId="16" fillId="0" borderId="0" xfId="5" applyFont="1" applyBorder="1" applyAlignment="1">
      <alignment horizontal="center" vertical="center" wrapText="1"/>
    </xf>
    <xf numFmtId="167" fontId="16" fillId="0" borderId="0" xfId="8" applyFont="1" applyBorder="1" applyAlignment="1" applyProtection="1">
      <alignment horizontal="right" vertical="center"/>
    </xf>
    <xf numFmtId="167" fontId="16" fillId="0" borderId="0" xfId="8" applyFont="1" applyBorder="1" applyAlignment="1" applyProtection="1">
      <alignment horizontal="center" vertical="center" wrapText="1"/>
    </xf>
    <xf numFmtId="4" fontId="16" fillId="0" borderId="0" xfId="3" applyNumberFormat="1" applyFont="1" applyBorder="1" applyAlignment="1" applyProtection="1">
      <alignment horizontal="center" vertical="center" wrapText="1"/>
    </xf>
    <xf numFmtId="0" fontId="15" fillId="0" borderId="0" xfId="5" applyFont="1" applyFill="1" applyBorder="1" applyAlignment="1">
      <alignment wrapText="1"/>
    </xf>
    <xf numFmtId="171" fontId="15" fillId="11" borderId="21" xfId="8" applyNumberFormat="1" applyFont="1" applyFill="1" applyBorder="1" applyAlignment="1" applyProtection="1">
      <alignment horizontal="center" vertical="center"/>
    </xf>
    <xf numFmtId="171" fontId="15" fillId="11" borderId="22" xfId="8" applyNumberFormat="1" applyFont="1" applyFill="1" applyBorder="1" applyAlignment="1" applyProtection="1">
      <alignment horizontal="center" vertical="center"/>
    </xf>
    <xf numFmtId="171" fontId="15" fillId="14" borderId="2" xfId="8" applyNumberFormat="1" applyFont="1" applyFill="1" applyBorder="1" applyAlignment="1" applyProtection="1">
      <alignment horizontal="right" vertical="center" wrapText="1"/>
    </xf>
    <xf numFmtId="171" fontId="15" fillId="14" borderId="15" xfId="8" applyNumberFormat="1" applyFont="1" applyFill="1" applyBorder="1" applyAlignment="1" applyProtection="1">
      <alignment horizontal="right" vertical="center" wrapText="1"/>
    </xf>
    <xf numFmtId="171" fontId="16" fillId="0" borderId="2" xfId="3" applyNumberFormat="1" applyFont="1" applyBorder="1" applyAlignment="1" applyProtection="1">
      <alignment horizontal="right" vertical="center" wrapText="1"/>
    </xf>
    <xf numFmtId="171" fontId="16" fillId="0" borderId="15" xfId="8" applyNumberFormat="1" applyFont="1" applyBorder="1" applyAlignment="1" applyProtection="1">
      <alignment horizontal="right" vertical="center"/>
    </xf>
    <xf numFmtId="171" fontId="16" fillId="0" borderId="17" xfId="3" applyNumberFormat="1" applyFont="1" applyBorder="1" applyAlignment="1" applyProtection="1">
      <alignment horizontal="right" vertical="center" wrapText="1"/>
    </xf>
    <xf numFmtId="171" fontId="16" fillId="0" borderId="18" xfId="8" applyNumberFormat="1" applyFont="1" applyBorder="1" applyAlignment="1" applyProtection="1">
      <alignment horizontal="right" vertical="center"/>
    </xf>
    <xf numFmtId="167" fontId="16" fillId="0" borderId="0" xfId="8" applyFont="1" applyBorder="1" applyAlignment="1" applyProtection="1">
      <alignment horizontal="center" vertical="center"/>
    </xf>
    <xf numFmtId="0" fontId="15" fillId="15" borderId="21" xfId="5" applyFont="1" applyFill="1" applyBorder="1" applyAlignment="1">
      <alignment horizontal="center" vertical="center" wrapText="1"/>
    </xf>
    <xf numFmtId="171" fontId="15" fillId="15" borderId="22" xfId="6" applyNumberFormat="1" applyFont="1" applyFill="1" applyBorder="1" applyAlignment="1" applyProtection="1">
      <alignment horizontal="center" vertical="center"/>
    </xf>
    <xf numFmtId="0" fontId="15" fillId="15" borderId="17" xfId="5" applyFont="1" applyFill="1" applyBorder="1" applyAlignment="1">
      <alignment horizontal="center" vertical="center" wrapText="1"/>
    </xf>
    <xf numFmtId="171" fontId="15" fillId="15" borderId="18" xfId="6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5" fillId="0" borderId="0" xfId="0" applyFont="1" applyBorder="1" applyAlignment="1">
      <alignment vertical="center"/>
    </xf>
    <xf numFmtId="0" fontId="23" fillId="0" borderId="0" xfId="0" applyFont="1" applyBorder="1"/>
    <xf numFmtId="0" fontId="21" fillId="1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17" borderId="27" xfId="0" applyFont="1" applyFill="1" applyBorder="1" applyAlignment="1">
      <alignment horizontal="center" vertical="center" wrapText="1"/>
    </xf>
    <xf numFmtId="172" fontId="5" fillId="5" borderId="2" xfId="0" applyNumberFormat="1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left" vertical="center" wrapText="1"/>
    </xf>
    <xf numFmtId="0" fontId="15" fillId="3" borderId="23" xfId="5" applyFont="1" applyFill="1" applyBorder="1" applyAlignment="1">
      <alignment horizontal="center" vertical="center" wrapText="1"/>
    </xf>
    <xf numFmtId="0" fontId="15" fillId="3" borderId="24" xfId="5" applyFont="1" applyFill="1" applyBorder="1" applyAlignment="1">
      <alignment horizontal="center" vertical="center" wrapText="1"/>
    </xf>
    <xf numFmtId="0" fontId="15" fillId="3" borderId="26" xfId="5" applyFont="1" applyFill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left" vertical="center" wrapText="1"/>
    </xf>
    <xf numFmtId="0" fontId="16" fillId="0" borderId="0" xfId="5" applyFont="1" applyFill="1" applyAlignment="1">
      <alignment horizontal="left" vertical="center" wrapText="1"/>
    </xf>
    <xf numFmtId="4" fontId="17" fillId="3" borderId="25" xfId="9" applyNumberFormat="1" applyFont="1" applyFill="1" applyBorder="1" applyAlignment="1">
      <alignment horizontal="center" vertical="center" wrapText="1"/>
    </xf>
    <xf numFmtId="4" fontId="17" fillId="3" borderId="21" xfId="9" applyNumberFormat="1" applyFont="1" applyFill="1" applyBorder="1" applyAlignment="1">
      <alignment horizontal="center" vertical="center" wrapText="1"/>
    </xf>
    <xf numFmtId="4" fontId="17" fillId="3" borderId="22" xfId="9" applyNumberFormat="1" applyFont="1" applyFill="1" applyBorder="1" applyAlignment="1">
      <alignment horizontal="center" vertical="center" wrapText="1"/>
    </xf>
    <xf numFmtId="2" fontId="17" fillId="0" borderId="14" xfId="9" applyNumberFormat="1" applyFont="1" applyFill="1" applyBorder="1" applyAlignment="1">
      <alignment horizontal="center" vertical="center" wrapText="1"/>
    </xf>
    <xf numFmtId="2" fontId="17" fillId="0" borderId="2" xfId="9" applyNumberFormat="1" applyFont="1" applyFill="1" applyBorder="1" applyAlignment="1">
      <alignment horizontal="center" vertical="center" wrapText="1"/>
    </xf>
    <xf numFmtId="2" fontId="17" fillId="0" borderId="14" xfId="9" applyNumberFormat="1" applyFont="1" applyFill="1" applyBorder="1" applyAlignment="1">
      <alignment horizontal="center" vertical="center"/>
    </xf>
    <xf numFmtId="2" fontId="17" fillId="0" borderId="2" xfId="9" applyNumberFormat="1" applyFont="1" applyFill="1" applyBorder="1" applyAlignment="1">
      <alignment horizontal="center" vertical="center"/>
    </xf>
    <xf numFmtId="2" fontId="17" fillId="0" borderId="16" xfId="9" applyNumberFormat="1" applyFont="1" applyFill="1" applyBorder="1" applyAlignment="1">
      <alignment horizontal="center" vertical="center"/>
    </xf>
    <xf numFmtId="2" fontId="17" fillId="0" borderId="17" xfId="9" applyNumberFormat="1" applyFont="1" applyFill="1" applyBorder="1" applyAlignment="1">
      <alignment horizontal="center" vertical="center"/>
    </xf>
    <xf numFmtId="49" fontId="18" fillId="9" borderId="25" xfId="5" applyNumberFormat="1" applyFont="1" applyFill="1" applyBorder="1" applyAlignment="1">
      <alignment horizontal="center" vertical="center"/>
    </xf>
    <xf numFmtId="49" fontId="18" fillId="9" borderId="21" xfId="5" applyNumberFormat="1" applyFont="1" applyFill="1" applyBorder="1" applyAlignment="1">
      <alignment horizontal="center" vertical="center"/>
    </xf>
    <xf numFmtId="49" fontId="18" fillId="9" borderId="22" xfId="5" applyNumberFormat="1" applyFont="1" applyFill="1" applyBorder="1" applyAlignment="1">
      <alignment horizontal="center" vertical="center"/>
    </xf>
    <xf numFmtId="4" fontId="18" fillId="10" borderId="2" xfId="8" applyNumberFormat="1" applyFont="1" applyFill="1" applyBorder="1" applyAlignment="1" applyProtection="1">
      <alignment horizontal="center" vertical="center"/>
    </xf>
    <xf numFmtId="4" fontId="18" fillId="10" borderId="15" xfId="8" applyNumberFormat="1" applyFont="1" applyFill="1" applyBorder="1" applyAlignment="1" applyProtection="1">
      <alignment horizontal="center" vertical="center"/>
    </xf>
    <xf numFmtId="0" fontId="15" fillId="11" borderId="2" xfId="5" applyFont="1" applyFill="1" applyBorder="1" applyAlignment="1">
      <alignment horizontal="center" vertical="center" wrapText="1"/>
    </xf>
    <xf numFmtId="0" fontId="15" fillId="11" borderId="21" xfId="5" applyFont="1" applyFill="1" applyBorder="1" applyAlignment="1">
      <alignment horizontal="center" vertical="center" wrapText="1"/>
    </xf>
    <xf numFmtId="49" fontId="18" fillId="10" borderId="14" xfId="5" applyNumberFormat="1" applyFont="1" applyFill="1" applyBorder="1" applyAlignment="1">
      <alignment horizontal="center" vertical="center"/>
    </xf>
    <xf numFmtId="49" fontId="18" fillId="10" borderId="2" xfId="5" applyNumberFormat="1" applyFont="1" applyFill="1" applyBorder="1" applyAlignment="1">
      <alignment horizontal="center" vertical="center"/>
    </xf>
    <xf numFmtId="0" fontId="18" fillId="10" borderId="2" xfId="5" applyFont="1" applyFill="1" applyBorder="1" applyAlignment="1">
      <alignment horizontal="center" vertical="center" wrapText="1"/>
    </xf>
    <xf numFmtId="0" fontId="18" fillId="10" borderId="2" xfId="5" applyFont="1" applyFill="1" applyBorder="1" applyAlignment="1">
      <alignment horizontal="center" vertical="center"/>
    </xf>
    <xf numFmtId="0" fontId="15" fillId="15" borderId="25" xfId="5" applyFont="1" applyFill="1" applyBorder="1" applyAlignment="1">
      <alignment horizontal="center" vertical="center" wrapText="1"/>
    </xf>
    <xf numFmtId="0" fontId="15" fillId="15" borderId="16" xfId="5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left" vertical="center"/>
    </xf>
    <xf numFmtId="170" fontId="8" fillId="6" borderId="3" xfId="4" applyNumberFormat="1" applyFont="1" applyFill="1" applyBorder="1" applyAlignment="1">
      <alignment horizontal="center" vertical="center"/>
    </xf>
    <xf numFmtId="170" fontId="8" fillId="6" borderId="4" xfId="4" applyNumberFormat="1" applyFont="1" applyFill="1" applyBorder="1" applyAlignment="1">
      <alignment horizontal="center" vertical="center"/>
    </xf>
    <xf numFmtId="170" fontId="8" fillId="6" borderId="5" xfId="4" applyNumberFormat="1" applyFont="1" applyFill="1" applyBorder="1" applyAlignment="1">
      <alignment horizontal="center" vertical="center"/>
    </xf>
    <xf numFmtId="0" fontId="11" fillId="7" borderId="10" xfId="4" applyFont="1" applyFill="1" applyBorder="1" applyAlignment="1">
      <alignment horizontal="center" vertical="center"/>
    </xf>
    <xf numFmtId="0" fontId="11" fillId="7" borderId="11" xfId="4" applyFont="1" applyFill="1" applyBorder="1" applyAlignment="1">
      <alignment horizontal="center" vertical="center"/>
    </xf>
    <xf numFmtId="0" fontId="11" fillId="7" borderId="9" xfId="4" applyFont="1" applyFill="1" applyBorder="1" applyAlignment="1">
      <alignment horizontal="center" vertical="center"/>
    </xf>
    <xf numFmtId="0" fontId="8" fillId="5" borderId="0" xfId="4" applyFont="1" applyFill="1" applyBorder="1" applyAlignment="1">
      <alignment horizontal="center" vertical="center"/>
    </xf>
    <xf numFmtId="170" fontId="11" fillId="0" borderId="6" xfId="4" applyNumberFormat="1" applyFont="1" applyBorder="1" applyAlignment="1">
      <alignment horizontal="center" vertical="center"/>
    </xf>
    <xf numFmtId="170" fontId="11" fillId="0" borderId="7" xfId="4" applyNumberFormat="1" applyFont="1" applyFill="1" applyBorder="1" applyAlignment="1">
      <alignment horizontal="center" vertical="center"/>
    </xf>
    <xf numFmtId="170" fontId="11" fillId="0" borderId="7" xfId="4" applyNumberFormat="1" applyFont="1" applyBorder="1" applyAlignment="1">
      <alignment horizontal="center" vertical="center"/>
    </xf>
    <xf numFmtId="170" fontId="11" fillId="0" borderId="12" xfId="4" applyNumberFormat="1" applyFont="1" applyFill="1" applyBorder="1" applyAlignment="1">
      <alignment horizontal="center" vertical="center"/>
    </xf>
    <xf numFmtId="170" fontId="11" fillId="0" borderId="13" xfId="4" applyNumberFormat="1" applyFont="1" applyFill="1" applyBorder="1" applyAlignment="1">
      <alignment horizontal="center" vertical="center"/>
    </xf>
    <xf numFmtId="170" fontId="11" fillId="0" borderId="19" xfId="4" applyNumberFormat="1" applyFont="1" applyBorder="1" applyAlignment="1">
      <alignment horizontal="center" vertical="center"/>
    </xf>
    <xf numFmtId="170" fontId="11" fillId="0" borderId="20" xfId="4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8" fontId="6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68" fontId="6" fillId="3" borderId="2" xfId="1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10">
    <cellStyle name="Moeda" xfId="2" builtinId="4"/>
    <cellStyle name="Moeda 2" xfId="6"/>
    <cellStyle name="Moeda 2 3" xfId="7"/>
    <cellStyle name="Normal" xfId="0" builtinId="0"/>
    <cellStyle name="Normal 2" xfId="5"/>
    <cellStyle name="Normal 2 4" xfId="4"/>
    <cellStyle name="Porcentagem" xfId="3" builtinId="5"/>
    <cellStyle name="Separador de milhares" xfId="1" builtinId="3"/>
    <cellStyle name="Separador de milhares 142" xfId="9"/>
    <cellStyle name="Vírgula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BFBFBF"/>
      <rgbColor rgb="00808080"/>
      <rgbColor rgb="00729FCF"/>
      <rgbColor rgb="00993366"/>
      <rgbColor rgb="00EEEEEE"/>
      <rgbColor rgb="00D9D9D9"/>
      <rgbColor rgb="00660066"/>
      <rgbColor rgb="00FF8080"/>
      <rgbColor rgb="000066CC"/>
      <rgbColor rgb="00B4C7E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DCE5"/>
      <rgbColor rgb="00FFFF99"/>
      <rgbColor rgb="00D0CECE"/>
      <rgbColor rgb="00FF99CC"/>
      <rgbColor rgb="00B2B2B2"/>
      <rgbColor rgb="00FFC7CE"/>
      <rgbColor rgb="003366FF"/>
      <rgbColor rgb="0033CCCC"/>
      <rgbColor rgb="0099CC00"/>
      <rgbColor rgb="00FFC000"/>
      <rgbColor rgb="00FF9900"/>
      <rgbColor rgb="00FF6600"/>
      <rgbColor rgb="00666699"/>
      <rgbColor rgb="00AFABAB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72720</xdr:colOff>
      <xdr:row>0</xdr:row>
      <xdr:rowOff>148320</xdr:rowOff>
    </xdr:from>
    <xdr:to>
      <xdr:col>1</xdr:col>
      <xdr:colOff>3139200</xdr:colOff>
      <xdr:row>4</xdr:row>
      <xdr:rowOff>27360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" y="147955"/>
          <a:ext cx="3836670" cy="6413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563880</xdr:colOff>
      <xdr:row>0</xdr:row>
      <xdr:rowOff>205740</xdr:rowOff>
    </xdr:from>
    <xdr:to>
      <xdr:col>8</xdr:col>
      <xdr:colOff>8255</xdr:colOff>
      <xdr:row>2</xdr:row>
      <xdr:rowOff>179070</xdr:rowOff>
    </xdr:to>
    <xdr:pic>
      <xdr:nvPicPr>
        <xdr:cNvPr id="2" name="Imagem 1_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7950" y="205740"/>
          <a:ext cx="7820025" cy="64008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3</xdr:col>
      <xdr:colOff>1144270</xdr:colOff>
      <xdr:row>247</xdr:row>
      <xdr:rowOff>34290</xdr:rowOff>
    </xdr:from>
    <xdr:to>
      <xdr:col>6</xdr:col>
      <xdr:colOff>473075</xdr:colOff>
      <xdr:row>254</xdr:row>
      <xdr:rowOff>92075</xdr:rowOff>
    </xdr:to>
    <xdr:sp macro="" textlink="">
      <xdr:nvSpPr>
        <xdr:cNvPr id="3" name="Caixa de Texto 2"/>
        <xdr:cNvSpPr txBox="1"/>
      </xdr:nvSpPr>
      <xdr:spPr>
        <a:xfrm>
          <a:off x="3782695" y="54552215"/>
          <a:ext cx="4070350" cy="119126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 xmlns:r="http://schemas.openxmlformats.org/officeDocument/2006/relationships" xmlns="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altLang="en-US" sz="1000" b="1" u="sng">
              <a:latin typeface="Arial" panose="020B0604020202020204" pitchFamily="7" charset="0"/>
              <a:cs typeface="Arial" panose="020B0604020202020204" pitchFamily="7" charset="0"/>
              <a:sym typeface="+mn-ea"/>
            </a:rPr>
            <a:t>                                                                                             </a:t>
          </a:r>
          <a:endParaRPr lang="pt-BR" altLang="en-US" sz="1000" b="1">
            <a:latin typeface="Arial" panose="020B0604020202020204" pitchFamily="7" charset="0"/>
            <a:cs typeface="Arial" panose="020B0604020202020204" pitchFamily="7" charset="0"/>
          </a:endParaRPr>
        </a:p>
        <a:p>
          <a:pPr algn="ctr"/>
          <a:r>
            <a:rPr lang="pt-BR" altLang="en-US" sz="1000" b="1">
              <a:latin typeface="Arial" panose="020B0604020202020204" pitchFamily="7" charset="0"/>
              <a:cs typeface="Arial" panose="020B0604020202020204" pitchFamily="7" charset="0"/>
            </a:rPr>
            <a:t>EDUARDO OLIVEIRA DOS SANTOS JUNIOR</a:t>
          </a:r>
        </a:p>
        <a:p>
          <a:pPr algn="ctr"/>
          <a:r>
            <a:rPr lang="pt-BR" altLang="en-US" sz="1000" b="1">
              <a:latin typeface="Arial" panose="020B0604020202020204" pitchFamily="7" charset="0"/>
              <a:cs typeface="Arial" panose="020B0604020202020204" pitchFamily="7" charset="0"/>
            </a:rPr>
            <a:t>ENGENHEIRO CIVIL</a:t>
          </a:r>
        </a:p>
        <a:p>
          <a:pPr algn="ctr"/>
          <a:r>
            <a:rPr lang="pt-BR" altLang="en-US" sz="1000" b="1">
              <a:latin typeface="Arial" panose="020B0604020202020204" pitchFamily="7" charset="0"/>
              <a:cs typeface="Arial" panose="020B0604020202020204" pitchFamily="7" charset="0"/>
            </a:rPr>
            <a:t>CREA Nº 5069244515-SP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229235</xdr:colOff>
      <xdr:row>0</xdr:row>
      <xdr:rowOff>84455</xdr:rowOff>
    </xdr:from>
    <xdr:to>
      <xdr:col>6</xdr:col>
      <xdr:colOff>734060</xdr:colOff>
      <xdr:row>0</xdr:row>
      <xdr:rowOff>751840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110" y="84455"/>
          <a:ext cx="8467725" cy="667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29FCF"/>
  </sheetPr>
  <dimension ref="A6:I27"/>
  <sheetViews>
    <sheetView zoomScaleSheetLayoutView="160" zoomScalePageLayoutView="160" workbookViewId="0">
      <selection activeCell="A8" sqref="A8:I10"/>
    </sheetView>
  </sheetViews>
  <sheetFormatPr defaultColWidth="11.5703125" defaultRowHeight="15"/>
  <cols>
    <col min="2" max="2" width="56.7109375" customWidth="1"/>
  </cols>
  <sheetData>
    <row r="6" spans="1:9" ht="15.75">
      <c r="A6" s="208" t="s">
        <v>0</v>
      </c>
      <c r="B6" s="208"/>
      <c r="C6" s="208"/>
      <c r="D6" s="208"/>
      <c r="E6" s="208"/>
      <c r="F6" s="208"/>
      <c r="G6" s="208"/>
      <c r="H6" s="208"/>
      <c r="I6" s="208"/>
    </row>
    <row r="7" spans="1:9" ht="15.75">
      <c r="A7" s="204"/>
      <c r="B7" s="204"/>
      <c r="C7" s="204"/>
      <c r="D7" s="204"/>
      <c r="E7" s="204"/>
      <c r="F7" s="204"/>
      <c r="G7" s="204"/>
      <c r="H7" s="205"/>
      <c r="I7" s="205"/>
    </row>
    <row r="8" spans="1:9" ht="15.75">
      <c r="A8" s="209" t="s">
        <v>1</v>
      </c>
      <c r="B8" s="209"/>
      <c r="C8" s="209"/>
      <c r="D8" s="209"/>
      <c r="E8" s="209"/>
      <c r="F8" s="209"/>
      <c r="G8" s="209"/>
      <c r="H8" s="209"/>
      <c r="I8" s="209"/>
    </row>
    <row r="9" spans="1:9" ht="15.75">
      <c r="A9" s="209" t="s">
        <v>2</v>
      </c>
      <c r="B9" s="209"/>
      <c r="C9" s="209"/>
      <c r="D9" s="209"/>
      <c r="E9" s="209"/>
      <c r="F9" s="209"/>
      <c r="G9" s="209"/>
      <c r="H9" s="209"/>
      <c r="I9" s="209"/>
    </row>
    <row r="10" spans="1:9" ht="15.75">
      <c r="A10" s="209" t="s">
        <v>3</v>
      </c>
      <c r="B10" s="209"/>
      <c r="C10" s="209"/>
      <c r="D10" s="209"/>
      <c r="E10" s="209"/>
      <c r="F10" s="209"/>
      <c r="G10" s="209"/>
      <c r="H10" s="209"/>
      <c r="I10" s="209"/>
    </row>
    <row r="11" spans="1:9" ht="15.75">
      <c r="A11" s="206"/>
      <c r="B11" s="206"/>
      <c r="C11" s="206"/>
      <c r="D11" s="206"/>
      <c r="E11" s="206"/>
      <c r="F11" s="206"/>
      <c r="G11" s="206"/>
      <c r="H11" s="205"/>
      <c r="I11" s="205"/>
    </row>
    <row r="12" spans="1:9" ht="15.75">
      <c r="A12" s="210" t="s">
        <v>4</v>
      </c>
      <c r="B12" s="210"/>
      <c r="C12" s="211" t="s">
        <v>5</v>
      </c>
      <c r="D12" s="211"/>
      <c r="E12" s="211"/>
      <c r="F12" s="211" t="s">
        <v>6</v>
      </c>
      <c r="G12" s="211"/>
      <c r="H12" s="211"/>
      <c r="I12" s="211"/>
    </row>
    <row r="13" spans="1:9" ht="13.9" customHeight="1">
      <c r="A13" s="213" t="s">
        <v>7</v>
      </c>
      <c r="B13" s="213"/>
      <c r="C13" s="214">
        <f>Planilha_Orçamentária_Modelo!J20</f>
        <v>117128.98999999999</v>
      </c>
      <c r="D13" s="214"/>
      <c r="E13" s="214"/>
      <c r="F13" s="214">
        <f>C13+C17+C21</f>
        <v>426191.46999999991</v>
      </c>
      <c r="G13" s="214"/>
      <c r="H13" s="214"/>
      <c r="I13" s="214"/>
    </row>
    <row r="14" spans="1:9">
      <c r="A14" s="213"/>
      <c r="B14" s="213"/>
      <c r="C14" s="214"/>
      <c r="D14" s="214"/>
      <c r="E14" s="214"/>
      <c r="F14" s="214"/>
      <c r="G14" s="214"/>
      <c r="H14" s="214"/>
      <c r="I14" s="214"/>
    </row>
    <row r="15" spans="1:9">
      <c r="A15" s="213"/>
      <c r="B15" s="213"/>
      <c r="C15" s="214"/>
      <c r="D15" s="214"/>
      <c r="E15" s="214"/>
      <c r="F15" s="214"/>
      <c r="G15" s="214"/>
      <c r="H15" s="214"/>
      <c r="I15" s="214"/>
    </row>
    <row r="16" spans="1:9">
      <c r="A16" s="213"/>
      <c r="B16" s="213"/>
      <c r="C16" s="214"/>
      <c r="D16" s="214"/>
      <c r="E16" s="214"/>
      <c r="F16" s="214"/>
      <c r="G16" s="214"/>
      <c r="H16" s="214"/>
      <c r="I16" s="214"/>
    </row>
    <row r="17" spans="1:9" ht="13.9" customHeight="1">
      <c r="A17" s="213" t="s">
        <v>8</v>
      </c>
      <c r="B17" s="213"/>
      <c r="C17" s="214">
        <f>Planilha_Orçamentária_Modelo!J49</f>
        <v>264196.7699999999</v>
      </c>
      <c r="D17" s="214"/>
      <c r="E17" s="214"/>
      <c r="F17" s="214"/>
      <c r="G17" s="214"/>
      <c r="H17" s="214"/>
      <c r="I17" s="214"/>
    </row>
    <row r="18" spans="1:9">
      <c r="A18" s="213"/>
      <c r="B18" s="213"/>
      <c r="C18" s="214"/>
      <c r="D18" s="214"/>
      <c r="E18" s="214"/>
      <c r="F18" s="214"/>
      <c r="G18" s="214"/>
      <c r="H18" s="214"/>
      <c r="I18" s="214"/>
    </row>
    <row r="19" spans="1:9">
      <c r="A19" s="213"/>
      <c r="B19" s="213"/>
      <c r="C19" s="214"/>
      <c r="D19" s="214"/>
      <c r="E19" s="214"/>
      <c r="F19" s="214"/>
      <c r="G19" s="214"/>
      <c r="H19" s="214"/>
      <c r="I19" s="214"/>
    </row>
    <row r="20" spans="1:9">
      <c r="A20" s="213"/>
      <c r="B20" s="213"/>
      <c r="C20" s="214"/>
      <c r="D20" s="214"/>
      <c r="E20" s="214"/>
      <c r="F20" s="214"/>
      <c r="G20" s="214"/>
      <c r="H20" s="214"/>
      <c r="I20" s="214"/>
    </row>
    <row r="21" spans="1:9" ht="13.9" customHeight="1">
      <c r="A21" s="213" t="s">
        <v>9</v>
      </c>
      <c r="B21" s="213"/>
      <c r="C21" s="214">
        <f>Planilha_Orçamentária_Modelo!J195</f>
        <v>44865.71</v>
      </c>
      <c r="D21" s="214"/>
      <c r="E21" s="214"/>
      <c r="F21" s="214"/>
      <c r="G21" s="214"/>
      <c r="H21" s="214"/>
      <c r="I21" s="214"/>
    </row>
    <row r="22" spans="1:9">
      <c r="A22" s="213"/>
      <c r="B22" s="213"/>
      <c r="C22" s="214"/>
      <c r="D22" s="214"/>
      <c r="E22" s="214"/>
      <c r="F22" s="214"/>
      <c r="G22" s="214"/>
      <c r="H22" s="214"/>
      <c r="I22" s="214"/>
    </row>
    <row r="23" spans="1:9">
      <c r="A23" s="213"/>
      <c r="B23" s="213"/>
      <c r="C23" s="214"/>
      <c r="D23" s="214"/>
      <c r="E23" s="214"/>
      <c r="F23" s="214"/>
      <c r="G23" s="214"/>
      <c r="H23" s="214"/>
      <c r="I23" s="214"/>
    </row>
    <row r="24" spans="1:9">
      <c r="A24" s="213"/>
      <c r="B24" s="213"/>
      <c r="C24" s="214"/>
      <c r="D24" s="214"/>
      <c r="E24" s="214"/>
      <c r="F24" s="214"/>
      <c r="G24" s="214"/>
      <c r="H24" s="214"/>
      <c r="I24" s="214"/>
    </row>
    <row r="25" spans="1:9" ht="15.75">
      <c r="A25" s="206"/>
      <c r="B25" s="206"/>
      <c r="C25" s="206"/>
      <c r="D25" s="206"/>
      <c r="E25" s="206"/>
      <c r="F25" s="206"/>
      <c r="G25" s="206"/>
      <c r="H25" s="205"/>
      <c r="I25" s="205"/>
    </row>
    <row r="26" spans="1:9" ht="16.5">
      <c r="A26" s="207"/>
      <c r="B26" s="207"/>
      <c r="C26" s="207"/>
      <c r="D26" s="207"/>
      <c r="E26" s="207"/>
      <c r="F26" s="207"/>
      <c r="G26" s="207"/>
    </row>
    <row r="27" spans="1:9" ht="15.75">
      <c r="A27" s="212" t="s">
        <v>10</v>
      </c>
      <c r="B27" s="212"/>
      <c r="C27" s="212"/>
      <c r="D27" s="212"/>
      <c r="E27" s="212"/>
      <c r="F27" s="212"/>
      <c r="G27" s="212"/>
      <c r="H27" s="212"/>
      <c r="I27" s="212"/>
    </row>
  </sheetData>
  <mergeCells count="15">
    <mergeCell ref="A27:I27"/>
    <mergeCell ref="A13:B16"/>
    <mergeCell ref="C13:E16"/>
    <mergeCell ref="F13:I24"/>
    <mergeCell ref="A17:B20"/>
    <mergeCell ref="C17:E20"/>
    <mergeCell ref="A21:B24"/>
    <mergeCell ref="C21:E24"/>
    <mergeCell ref="A6:I6"/>
    <mergeCell ref="A8:I8"/>
    <mergeCell ref="A9:I9"/>
    <mergeCell ref="A10:I10"/>
    <mergeCell ref="A12:B12"/>
    <mergeCell ref="C12:E12"/>
    <mergeCell ref="F12:I12"/>
  </mergeCells>
  <pageMargins left="0.78749999999999998" right="0.78749999999999998" top="1.05277777777778" bottom="1.05277777777778" header="0.78749999999999998" footer="0.78749999999999998"/>
  <pageSetup paperSize="9" scale="58" firstPageNumber="0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MK245"/>
  <sheetViews>
    <sheetView tabSelected="1" workbookViewId="0">
      <selection sqref="A1:B1"/>
    </sheetView>
  </sheetViews>
  <sheetFormatPr defaultColWidth="9.140625" defaultRowHeight="12.75"/>
  <cols>
    <col min="1" max="1" width="12.140625" style="69" customWidth="1"/>
    <col min="2" max="2" width="14.7109375" style="69" customWidth="1"/>
    <col min="3" max="3" width="12.7109375" style="73" customWidth="1"/>
    <col min="4" max="4" width="55" style="74" customWidth="1"/>
    <col min="5" max="5" width="6.28515625" style="69" customWidth="1"/>
    <col min="6" max="6" width="9.85546875" style="75" customWidth="1"/>
    <col min="7" max="8" width="13.5703125" style="76" customWidth="1"/>
    <col min="9" max="9" width="13.5703125" style="77" customWidth="1"/>
    <col min="10" max="10" width="16.140625" style="75" customWidth="1"/>
    <col min="11" max="11" width="12.5703125" style="69" customWidth="1"/>
    <col min="12" max="12" width="6.85546875" style="69" customWidth="1"/>
    <col min="13" max="13" width="13" style="69" customWidth="1"/>
    <col min="14" max="14" width="11.85546875" style="69" customWidth="1"/>
    <col min="15" max="15" width="16.28515625" style="69" customWidth="1"/>
    <col min="16" max="1025" width="9.140625" style="69"/>
    <col min="1026" max="16384" width="9.140625" style="70"/>
  </cols>
  <sheetData>
    <row r="1" spans="1:15" ht="26.25" customHeight="1">
      <c r="A1" s="215"/>
      <c r="B1" s="215"/>
      <c r="C1" s="79"/>
      <c r="D1" s="79"/>
      <c r="E1" s="80"/>
      <c r="F1" s="80"/>
      <c r="G1" s="80"/>
      <c r="H1" s="80"/>
      <c r="I1" s="80"/>
      <c r="J1" s="80"/>
      <c r="K1" s="138"/>
    </row>
    <row r="2" spans="1:15" ht="26.25" customHeight="1">
      <c r="A2" s="79"/>
      <c r="B2" s="79"/>
      <c r="C2" s="79"/>
      <c r="D2" s="79"/>
      <c r="E2" s="80"/>
      <c r="F2" s="80"/>
      <c r="G2" s="80"/>
      <c r="H2" s="80"/>
      <c r="I2" s="80"/>
      <c r="J2" s="80"/>
      <c r="K2" s="138"/>
    </row>
    <row r="3" spans="1:15" ht="26.25" customHeight="1">
      <c r="A3" s="79"/>
      <c r="B3" s="79"/>
      <c r="C3" s="79"/>
      <c r="D3" s="79"/>
      <c r="E3" s="80"/>
      <c r="F3" s="80"/>
      <c r="G3" s="80"/>
      <c r="H3" s="80"/>
      <c r="I3" s="80"/>
      <c r="J3" s="80"/>
      <c r="K3" s="138"/>
    </row>
    <row r="4" spans="1:15" ht="29.1" customHeight="1">
      <c r="A4" s="216" t="s">
        <v>11</v>
      </c>
      <c r="B4" s="217"/>
      <c r="C4" s="217"/>
      <c r="D4" s="217"/>
      <c r="E4" s="217"/>
      <c r="F4" s="217"/>
      <c r="G4" s="217"/>
      <c r="H4" s="217"/>
      <c r="I4" s="217"/>
      <c r="J4" s="218"/>
      <c r="K4" s="138"/>
    </row>
    <row r="5" spans="1:15" ht="15" customHeight="1">
      <c r="A5" s="79"/>
      <c r="B5" s="79"/>
      <c r="C5" s="79"/>
      <c r="D5" s="79"/>
      <c r="E5" s="80"/>
      <c r="F5" s="80"/>
      <c r="G5" s="80"/>
      <c r="H5" s="80"/>
      <c r="I5" s="80"/>
      <c r="J5" s="80"/>
      <c r="K5" s="138"/>
    </row>
    <row r="6" spans="1:15" s="69" customFormat="1">
      <c r="A6" s="81" t="s">
        <v>12</v>
      </c>
      <c r="B6" s="219" t="s">
        <v>13</v>
      </c>
      <c r="C6" s="219"/>
      <c r="D6" s="219"/>
      <c r="E6" s="83"/>
      <c r="F6" s="80"/>
      <c r="G6" s="84"/>
      <c r="H6" s="82"/>
      <c r="I6" s="82"/>
      <c r="J6" s="82"/>
      <c r="K6" s="138"/>
    </row>
    <row r="7" spans="1:15">
      <c r="A7" s="81" t="s">
        <v>14</v>
      </c>
      <c r="B7" s="220" t="s">
        <v>15</v>
      </c>
      <c r="C7" s="220"/>
      <c r="D7" s="220"/>
      <c r="E7" s="220"/>
      <c r="F7" s="79"/>
      <c r="G7" s="78"/>
      <c r="H7" s="82"/>
      <c r="I7" s="82"/>
      <c r="J7" s="79"/>
      <c r="K7" s="138"/>
      <c r="M7" s="72"/>
      <c r="O7" s="72"/>
    </row>
    <row r="8" spans="1:15">
      <c r="A8" s="81" t="s">
        <v>16</v>
      </c>
      <c r="B8" s="220" t="s">
        <v>17</v>
      </c>
      <c r="C8" s="220"/>
      <c r="D8" s="220"/>
      <c r="E8" s="85"/>
      <c r="F8" s="79"/>
      <c r="G8" s="78"/>
      <c r="H8" s="82"/>
      <c r="I8" s="82"/>
      <c r="J8" s="79"/>
      <c r="K8" s="138"/>
      <c r="M8" s="72"/>
      <c r="O8" s="72"/>
    </row>
    <row r="9" spans="1:15">
      <c r="A9" s="81" t="s">
        <v>18</v>
      </c>
      <c r="B9" s="82">
        <v>64403</v>
      </c>
      <c r="C9" s="79"/>
      <c r="D9" s="79"/>
      <c r="E9" s="79"/>
      <c r="F9" s="79"/>
      <c r="G9" s="78"/>
      <c r="H9" s="82"/>
      <c r="I9" s="82"/>
      <c r="J9" s="79"/>
      <c r="K9" s="138"/>
      <c r="M9" s="72"/>
      <c r="O9" s="72"/>
    </row>
    <row r="10" spans="1:15" s="70" customFormat="1">
      <c r="A10" s="86"/>
      <c r="B10" s="83"/>
      <c r="C10" s="78"/>
      <c r="D10" s="78"/>
      <c r="E10" s="83"/>
      <c r="F10" s="83"/>
      <c r="G10" s="87"/>
      <c r="H10" s="221" t="s">
        <v>19</v>
      </c>
      <c r="I10" s="222"/>
      <c r="J10" s="223"/>
      <c r="K10" s="139"/>
    </row>
    <row r="11" spans="1:15" s="70" customFormat="1">
      <c r="A11" s="86"/>
      <c r="B11" s="83"/>
      <c r="C11" s="78"/>
      <c r="D11" s="78"/>
      <c r="E11" s="83"/>
      <c r="F11" s="83"/>
      <c r="G11" s="87"/>
      <c r="H11" s="224" t="s">
        <v>20</v>
      </c>
      <c r="I11" s="225"/>
      <c r="J11" s="140" t="s">
        <v>21</v>
      </c>
      <c r="K11" s="139"/>
    </row>
    <row r="12" spans="1:15" s="70" customFormat="1">
      <c r="A12" s="86"/>
      <c r="B12" s="83"/>
      <c r="C12" s="78"/>
      <c r="D12" s="78"/>
      <c r="E12" s="83"/>
      <c r="F12" s="83"/>
      <c r="G12" s="87"/>
      <c r="H12" s="224" t="s">
        <v>22</v>
      </c>
      <c r="I12" s="225"/>
      <c r="J12" s="140" t="s">
        <v>23</v>
      </c>
      <c r="K12" s="139"/>
    </row>
    <row r="13" spans="1:15" s="70" customFormat="1">
      <c r="A13" s="86"/>
      <c r="B13" s="83"/>
      <c r="C13" s="78"/>
      <c r="D13" s="78"/>
      <c r="E13" s="83"/>
      <c r="F13" s="83"/>
      <c r="G13" s="87"/>
      <c r="H13" s="226" t="s">
        <v>24</v>
      </c>
      <c r="I13" s="227"/>
      <c r="J13" s="141" t="s">
        <v>25</v>
      </c>
      <c r="K13" s="139"/>
    </row>
    <row r="14" spans="1:15" s="70" customFormat="1">
      <c r="A14" s="86"/>
      <c r="B14" s="83"/>
      <c r="C14" s="78"/>
      <c r="D14" s="78"/>
      <c r="E14" s="83"/>
      <c r="F14" s="83"/>
      <c r="G14" s="87"/>
      <c r="H14" s="226" t="s">
        <v>26</v>
      </c>
      <c r="I14" s="227"/>
      <c r="J14" s="142" t="s">
        <v>27</v>
      </c>
      <c r="K14" s="139"/>
    </row>
    <row r="15" spans="1:15" s="70" customFormat="1">
      <c r="A15" s="86"/>
      <c r="B15" s="83"/>
      <c r="C15" s="78"/>
      <c r="D15" s="78"/>
      <c r="E15" s="83"/>
      <c r="F15" s="83"/>
      <c r="G15" s="87"/>
      <c r="H15" s="228" t="s">
        <v>28</v>
      </c>
      <c r="I15" s="229"/>
      <c r="J15" s="143">
        <v>0.25</v>
      </c>
      <c r="K15" s="139"/>
    </row>
    <row r="16" spans="1:15" s="70" customFormat="1" ht="5.0999999999999996" customHeight="1">
      <c r="A16" s="88"/>
      <c r="B16" s="89"/>
      <c r="C16" s="90"/>
      <c r="D16" s="90"/>
      <c r="E16" s="89"/>
      <c r="F16" s="89"/>
      <c r="G16" s="91"/>
      <c r="H16" s="91"/>
      <c r="I16" s="91"/>
      <c r="J16" s="91"/>
    </row>
    <row r="17" spans="1:15" s="70" customFormat="1" ht="30" customHeight="1">
      <c r="A17" s="230" t="s">
        <v>29</v>
      </c>
      <c r="B17" s="231"/>
      <c r="C17" s="231"/>
      <c r="D17" s="231"/>
      <c r="E17" s="231"/>
      <c r="F17" s="231"/>
      <c r="G17" s="231"/>
      <c r="H17" s="231"/>
      <c r="I17" s="231"/>
      <c r="J17" s="232"/>
    </row>
    <row r="18" spans="1:15" s="71" customFormat="1" ht="21.95" customHeight="1">
      <c r="A18" s="237" t="s">
        <v>30</v>
      </c>
      <c r="B18" s="238" t="s">
        <v>31</v>
      </c>
      <c r="C18" s="238" t="s">
        <v>32</v>
      </c>
      <c r="D18" s="239" t="s">
        <v>33</v>
      </c>
      <c r="E18" s="240" t="s">
        <v>34</v>
      </c>
      <c r="F18" s="233" t="s">
        <v>35</v>
      </c>
      <c r="G18" s="233" t="s">
        <v>36</v>
      </c>
      <c r="H18" s="233"/>
      <c r="I18" s="233" t="s">
        <v>6</v>
      </c>
      <c r="J18" s="234"/>
    </row>
    <row r="19" spans="1:15" s="71" customFormat="1" ht="21.95" customHeight="1">
      <c r="A19" s="237"/>
      <c r="B19" s="238"/>
      <c r="C19" s="238"/>
      <c r="D19" s="239"/>
      <c r="E19" s="240"/>
      <c r="F19" s="233"/>
      <c r="G19" s="92" t="s">
        <v>37</v>
      </c>
      <c r="H19" s="92" t="s">
        <v>38</v>
      </c>
      <c r="I19" s="92" t="s">
        <v>37</v>
      </c>
      <c r="J19" s="144" t="s">
        <v>38</v>
      </c>
    </row>
    <row r="20" spans="1:15" s="71" customFormat="1" ht="32.1" customHeight="1">
      <c r="A20" s="93" t="s">
        <v>39</v>
      </c>
      <c r="B20" s="235" t="s">
        <v>40</v>
      </c>
      <c r="C20" s="235"/>
      <c r="D20" s="235"/>
      <c r="E20" s="235"/>
      <c r="F20" s="235"/>
      <c r="G20" s="235"/>
      <c r="H20" s="235"/>
      <c r="I20" s="145">
        <f>SUBTOTAL(9,I21:I45)</f>
        <v>93703.191999999981</v>
      </c>
      <c r="J20" s="146">
        <f>SUBTOTAL(9,J21:J45)</f>
        <v>117128.98999999999</v>
      </c>
      <c r="N20" s="147">
        <f>1.7*3.5</f>
        <v>5.95</v>
      </c>
    </row>
    <row r="21" spans="1:15" s="71" customFormat="1">
      <c r="A21" s="94" t="s">
        <v>41</v>
      </c>
      <c r="B21" s="95"/>
      <c r="C21" s="95"/>
      <c r="D21" s="95" t="s">
        <v>42</v>
      </c>
      <c r="E21" s="95"/>
      <c r="F21" s="95"/>
      <c r="G21" s="96"/>
      <c r="H21" s="96"/>
      <c r="I21" s="148">
        <f>SUBTOTAL(9,I22)</f>
        <v>4580.7520000000004</v>
      </c>
      <c r="J21" s="149">
        <f>SUBTOTAL(9,J22)</f>
        <v>5725.94</v>
      </c>
    </row>
    <row r="22" spans="1:15" s="72" customFormat="1">
      <c r="A22" s="97" t="s">
        <v>43</v>
      </c>
      <c r="B22" s="98" t="s">
        <v>20</v>
      </c>
      <c r="C22" s="99" t="s">
        <v>44</v>
      </c>
      <c r="D22" s="100" t="s">
        <v>45</v>
      </c>
      <c r="E22" s="101" t="s">
        <v>46</v>
      </c>
      <c r="F22" s="102">
        <f>1.7*2.9</f>
        <v>4.93</v>
      </c>
      <c r="G22" s="103">
        <v>929.16</v>
      </c>
      <c r="H22" s="104">
        <f t="shared" ref="H22:H27" si="0">G22*1.25</f>
        <v>1161.45</v>
      </c>
      <c r="I22" s="104">
        <f t="shared" ref="I22:I45" si="1">J22/1.25</f>
        <v>4580.7520000000004</v>
      </c>
      <c r="J22" s="150">
        <f t="shared" ref="J22:J45" si="2">TRUNC(F22*H22,2)</f>
        <v>5725.94</v>
      </c>
      <c r="K22" s="151"/>
    </row>
    <row r="23" spans="1:15" s="72" customFormat="1">
      <c r="A23" s="105" t="s">
        <v>47</v>
      </c>
      <c r="B23" s="106"/>
      <c r="C23" s="107"/>
      <c r="D23" s="95" t="s">
        <v>48</v>
      </c>
      <c r="E23" s="106"/>
      <c r="F23" s="108"/>
      <c r="G23" s="109"/>
      <c r="H23" s="110" t="str">
        <f>IF(G23="","",ROUND(G23*(1+#REF!),2))</f>
        <v/>
      </c>
      <c r="I23" s="148">
        <f>SUBTOTAL(9,I24:I45)</f>
        <v>89122.44</v>
      </c>
      <c r="J23" s="149">
        <f>SUBTOTAL(9,J24:J45)</f>
        <v>111403.05000000002</v>
      </c>
    </row>
    <row r="24" spans="1:15" s="72" customFormat="1" ht="25.5">
      <c r="A24" s="97" t="s">
        <v>49</v>
      </c>
      <c r="B24" s="98" t="s">
        <v>50</v>
      </c>
      <c r="C24" s="99" t="s">
        <v>51</v>
      </c>
      <c r="D24" s="100" t="s">
        <v>52</v>
      </c>
      <c r="E24" s="101" t="s">
        <v>53</v>
      </c>
      <c r="F24" s="111">
        <v>1</v>
      </c>
      <c r="G24" s="112">
        <f>H24/1.25</f>
        <v>2174.3759999999997</v>
      </c>
      <c r="H24" s="104">
        <f>'PREÇOS DE MERCADO'!G14</f>
        <v>2717.97</v>
      </c>
      <c r="I24" s="104">
        <f t="shared" si="1"/>
        <v>2174.3759999999997</v>
      </c>
      <c r="J24" s="152">
        <f t="shared" si="2"/>
        <v>2717.97</v>
      </c>
      <c r="K24" s="151"/>
    </row>
    <row r="25" spans="1:15" s="72" customFormat="1">
      <c r="A25" s="97" t="s">
        <v>54</v>
      </c>
      <c r="B25" s="98" t="s">
        <v>20</v>
      </c>
      <c r="C25" s="99" t="s">
        <v>55</v>
      </c>
      <c r="D25" s="100" t="s">
        <v>56</v>
      </c>
      <c r="E25" s="101" t="s">
        <v>57</v>
      </c>
      <c r="F25" s="111">
        <v>0.91</v>
      </c>
      <c r="G25" s="112">
        <v>204.27</v>
      </c>
      <c r="H25" s="104">
        <f t="shared" si="0"/>
        <v>255.33750000000001</v>
      </c>
      <c r="I25" s="104">
        <f t="shared" si="1"/>
        <v>185.88</v>
      </c>
      <c r="J25" s="150">
        <f t="shared" si="2"/>
        <v>232.35</v>
      </c>
      <c r="K25" s="151"/>
    </row>
    <row r="26" spans="1:15" s="72" customFormat="1" ht="51">
      <c r="A26" s="97" t="s">
        <v>58</v>
      </c>
      <c r="B26" s="98" t="s">
        <v>59</v>
      </c>
      <c r="C26" s="99" t="s">
        <v>60</v>
      </c>
      <c r="D26" s="100" t="s">
        <v>61</v>
      </c>
      <c r="E26" s="101" t="s">
        <v>57</v>
      </c>
      <c r="F26" s="111">
        <v>0.91</v>
      </c>
      <c r="G26" s="112">
        <v>668.85</v>
      </c>
      <c r="H26" s="104">
        <f t="shared" si="0"/>
        <v>836.0625</v>
      </c>
      <c r="I26" s="104">
        <f t="shared" si="1"/>
        <v>608.64800000000002</v>
      </c>
      <c r="J26" s="150">
        <f t="shared" si="2"/>
        <v>760.81</v>
      </c>
      <c r="K26" s="151"/>
    </row>
    <row r="27" spans="1:15" s="72" customFormat="1" ht="25.5">
      <c r="A27" s="97" t="s">
        <v>62</v>
      </c>
      <c r="B27" s="98" t="s">
        <v>24</v>
      </c>
      <c r="C27" s="99" t="s">
        <v>63</v>
      </c>
      <c r="D27" s="100" t="s">
        <v>64</v>
      </c>
      <c r="E27" s="101" t="s">
        <v>53</v>
      </c>
      <c r="F27" s="111">
        <v>14</v>
      </c>
      <c r="G27" s="112">
        <v>206.93</v>
      </c>
      <c r="H27" s="104">
        <f t="shared" si="0"/>
        <v>258.66250000000002</v>
      </c>
      <c r="I27" s="104">
        <f t="shared" si="1"/>
        <v>2897.0160000000001</v>
      </c>
      <c r="J27" s="150">
        <f t="shared" si="2"/>
        <v>3621.27</v>
      </c>
      <c r="K27" s="151"/>
    </row>
    <row r="28" spans="1:15" s="72" customFormat="1">
      <c r="A28" s="97" t="s">
        <v>65</v>
      </c>
      <c r="B28" s="98" t="s">
        <v>20</v>
      </c>
      <c r="C28" s="99" t="s">
        <v>66</v>
      </c>
      <c r="D28" s="100" t="s">
        <v>67</v>
      </c>
      <c r="E28" s="101" t="s">
        <v>68</v>
      </c>
      <c r="F28" s="111">
        <v>13</v>
      </c>
      <c r="G28" s="112">
        <v>61.89</v>
      </c>
      <c r="H28" s="104">
        <f t="shared" ref="H28:H44" si="3">G28*1.25</f>
        <v>77.362499999999997</v>
      </c>
      <c r="I28" s="104">
        <f t="shared" si="1"/>
        <v>804.56799999999998</v>
      </c>
      <c r="J28" s="150">
        <f t="shared" si="2"/>
        <v>1005.71</v>
      </c>
      <c r="K28" s="151"/>
    </row>
    <row r="29" spans="1:15" s="72" customFormat="1">
      <c r="A29" s="97" t="s">
        <v>69</v>
      </c>
      <c r="B29" s="98" t="s">
        <v>20</v>
      </c>
      <c r="C29" s="99" t="s">
        <v>70</v>
      </c>
      <c r="D29" s="100" t="s">
        <v>71</v>
      </c>
      <c r="E29" s="101" t="s">
        <v>57</v>
      </c>
      <c r="F29" s="111">
        <v>0.83</v>
      </c>
      <c r="G29" s="112">
        <v>473.18</v>
      </c>
      <c r="H29" s="104">
        <f t="shared" si="3"/>
        <v>591.47500000000002</v>
      </c>
      <c r="I29" s="104">
        <f t="shared" si="1"/>
        <v>392.73599999999999</v>
      </c>
      <c r="J29" s="150">
        <f t="shared" si="2"/>
        <v>490.92</v>
      </c>
      <c r="K29" s="151"/>
      <c r="N29" s="72">
        <v>2450.21</v>
      </c>
      <c r="O29" s="72">
        <f>N29/1.15</f>
        <v>2130.6173913043499</v>
      </c>
    </row>
    <row r="30" spans="1:15" s="72" customFormat="1" ht="25.5">
      <c r="A30" s="97" t="s">
        <v>72</v>
      </c>
      <c r="B30" s="98" t="s">
        <v>20</v>
      </c>
      <c r="C30" s="99" t="s">
        <v>73</v>
      </c>
      <c r="D30" s="100" t="s">
        <v>74</v>
      </c>
      <c r="E30" s="101" t="s">
        <v>57</v>
      </c>
      <c r="F30" s="111">
        <v>0.83</v>
      </c>
      <c r="G30" s="112">
        <v>156.63999999999999</v>
      </c>
      <c r="H30" s="104">
        <f t="shared" si="3"/>
        <v>195.8</v>
      </c>
      <c r="I30" s="104">
        <f t="shared" si="1"/>
        <v>130.00800000000001</v>
      </c>
      <c r="J30" s="150">
        <f t="shared" si="2"/>
        <v>162.51</v>
      </c>
      <c r="K30" s="151"/>
    </row>
    <row r="31" spans="1:15" s="72" customFormat="1" ht="25.5">
      <c r="A31" s="97" t="s">
        <v>75</v>
      </c>
      <c r="B31" s="98" t="s">
        <v>24</v>
      </c>
      <c r="C31" s="99" t="s">
        <v>76</v>
      </c>
      <c r="D31" s="100" t="s">
        <v>77</v>
      </c>
      <c r="E31" s="101" t="s">
        <v>53</v>
      </c>
      <c r="F31" s="111">
        <v>13</v>
      </c>
      <c r="G31" s="112">
        <v>161.4</v>
      </c>
      <c r="H31" s="104">
        <f t="shared" si="3"/>
        <v>201.75</v>
      </c>
      <c r="I31" s="104">
        <f t="shared" si="1"/>
        <v>2098.1999999999998</v>
      </c>
      <c r="J31" s="150">
        <f t="shared" si="2"/>
        <v>2622.75</v>
      </c>
      <c r="K31" s="151"/>
    </row>
    <row r="32" spans="1:15" s="72" customFormat="1">
      <c r="A32" s="97" t="s">
        <v>78</v>
      </c>
      <c r="B32" s="98" t="s">
        <v>20</v>
      </c>
      <c r="C32" s="99" t="s">
        <v>79</v>
      </c>
      <c r="D32" s="100" t="s">
        <v>80</v>
      </c>
      <c r="E32" s="101" t="s">
        <v>53</v>
      </c>
      <c r="F32" s="111">
        <v>13</v>
      </c>
      <c r="G32" s="112">
        <v>281.68</v>
      </c>
      <c r="H32" s="104">
        <f t="shared" si="3"/>
        <v>352.1</v>
      </c>
      <c r="I32" s="104">
        <f t="shared" si="1"/>
        <v>3661.84</v>
      </c>
      <c r="J32" s="150">
        <f t="shared" si="2"/>
        <v>4577.3</v>
      </c>
      <c r="K32" s="151"/>
    </row>
    <row r="33" spans="1:11" s="72" customFormat="1">
      <c r="A33" s="97" t="s">
        <v>81</v>
      </c>
      <c r="B33" s="98" t="s">
        <v>20</v>
      </c>
      <c r="C33" s="99" t="s">
        <v>82</v>
      </c>
      <c r="D33" s="100" t="s">
        <v>83</v>
      </c>
      <c r="E33" s="101" t="s">
        <v>53</v>
      </c>
      <c r="F33" s="111">
        <v>13</v>
      </c>
      <c r="G33" s="112">
        <v>22.39</v>
      </c>
      <c r="H33" s="104">
        <f t="shared" si="3"/>
        <v>27.987500000000001</v>
      </c>
      <c r="I33" s="104">
        <f t="shared" si="1"/>
        <v>291.06400000000002</v>
      </c>
      <c r="J33" s="150">
        <f t="shared" si="2"/>
        <v>363.83</v>
      </c>
      <c r="K33" s="151"/>
    </row>
    <row r="34" spans="1:11" s="72" customFormat="1">
      <c r="A34" s="97" t="s">
        <v>84</v>
      </c>
      <c r="B34" s="98" t="s">
        <v>20</v>
      </c>
      <c r="C34" s="99" t="s">
        <v>85</v>
      </c>
      <c r="D34" s="100" t="s">
        <v>86</v>
      </c>
      <c r="E34" s="101" t="s">
        <v>57</v>
      </c>
      <c r="F34" s="111">
        <v>0.08</v>
      </c>
      <c r="G34" s="112">
        <v>199.78</v>
      </c>
      <c r="H34" s="104">
        <f t="shared" si="3"/>
        <v>249.72499999999999</v>
      </c>
      <c r="I34" s="104">
        <f t="shared" si="1"/>
        <v>15.976000000000001</v>
      </c>
      <c r="J34" s="150">
        <f t="shared" si="2"/>
        <v>19.97</v>
      </c>
      <c r="K34" s="151"/>
    </row>
    <row r="35" spans="1:11" s="72" customFormat="1" ht="25.5">
      <c r="A35" s="97" t="s">
        <v>87</v>
      </c>
      <c r="B35" s="98" t="s">
        <v>20</v>
      </c>
      <c r="C35" s="99" t="s">
        <v>88</v>
      </c>
      <c r="D35" s="100" t="s">
        <v>89</v>
      </c>
      <c r="E35" s="101" t="s">
        <v>57</v>
      </c>
      <c r="F35" s="111">
        <v>86.42</v>
      </c>
      <c r="G35" s="112">
        <v>46.43</v>
      </c>
      <c r="H35" s="104">
        <f t="shared" si="3"/>
        <v>58.037500000000001</v>
      </c>
      <c r="I35" s="104">
        <f t="shared" si="1"/>
        <v>4012.48</v>
      </c>
      <c r="J35" s="150">
        <f t="shared" si="2"/>
        <v>5015.6000000000004</v>
      </c>
      <c r="K35" s="151"/>
    </row>
    <row r="36" spans="1:11" s="72" customFormat="1" ht="25.5">
      <c r="A36" s="97" t="s">
        <v>90</v>
      </c>
      <c r="B36" s="98" t="s">
        <v>20</v>
      </c>
      <c r="C36" s="99" t="s">
        <v>91</v>
      </c>
      <c r="D36" s="100" t="s">
        <v>92</v>
      </c>
      <c r="E36" s="101" t="s">
        <v>68</v>
      </c>
      <c r="F36" s="111">
        <v>9.1</v>
      </c>
      <c r="G36" s="112">
        <v>7.94</v>
      </c>
      <c r="H36" s="104">
        <f t="shared" si="3"/>
        <v>9.9250000000000007</v>
      </c>
      <c r="I36" s="104">
        <f t="shared" si="1"/>
        <v>72.248000000000005</v>
      </c>
      <c r="J36" s="150">
        <f t="shared" si="2"/>
        <v>90.31</v>
      </c>
      <c r="K36" s="151"/>
    </row>
    <row r="37" spans="1:11" s="72" customFormat="1" ht="25.5">
      <c r="A37" s="97" t="s">
        <v>93</v>
      </c>
      <c r="B37" s="98" t="s">
        <v>20</v>
      </c>
      <c r="C37" s="99" t="s">
        <v>94</v>
      </c>
      <c r="D37" s="100" t="s">
        <v>95</v>
      </c>
      <c r="E37" s="101" t="s">
        <v>68</v>
      </c>
      <c r="F37" s="111">
        <v>423</v>
      </c>
      <c r="G37" s="112">
        <v>10.119999999999999</v>
      </c>
      <c r="H37" s="104">
        <f t="shared" si="3"/>
        <v>12.65</v>
      </c>
      <c r="I37" s="104">
        <f t="shared" si="1"/>
        <v>4280.76</v>
      </c>
      <c r="J37" s="150">
        <f t="shared" si="2"/>
        <v>5350.95</v>
      </c>
      <c r="K37" s="151"/>
    </row>
    <row r="38" spans="1:11" s="72" customFormat="1" ht="25.5">
      <c r="A38" s="97" t="s">
        <v>96</v>
      </c>
      <c r="B38" s="98" t="s">
        <v>20</v>
      </c>
      <c r="C38" s="99" t="s">
        <v>97</v>
      </c>
      <c r="D38" s="100" t="s">
        <v>98</v>
      </c>
      <c r="E38" s="101" t="s">
        <v>68</v>
      </c>
      <c r="F38" s="111">
        <v>591.5</v>
      </c>
      <c r="G38" s="112">
        <v>2.92</v>
      </c>
      <c r="H38" s="104">
        <f t="shared" si="3"/>
        <v>3.65</v>
      </c>
      <c r="I38" s="104">
        <f t="shared" si="1"/>
        <v>1727.1759999999999</v>
      </c>
      <c r="J38" s="150">
        <f t="shared" si="2"/>
        <v>2158.9699999999998</v>
      </c>
      <c r="K38" s="151"/>
    </row>
    <row r="39" spans="1:11" s="72" customFormat="1" ht="25.5">
      <c r="A39" s="97" t="s">
        <v>99</v>
      </c>
      <c r="B39" s="98" t="s">
        <v>20</v>
      </c>
      <c r="C39" s="99" t="s">
        <v>100</v>
      </c>
      <c r="D39" s="100" t="s">
        <v>101</v>
      </c>
      <c r="E39" s="101" t="s">
        <v>68</v>
      </c>
      <c r="F39" s="111">
        <v>423</v>
      </c>
      <c r="G39" s="112">
        <v>10.95</v>
      </c>
      <c r="H39" s="104">
        <f t="shared" si="3"/>
        <v>13.6875</v>
      </c>
      <c r="I39" s="104">
        <f t="shared" si="1"/>
        <v>4631.848</v>
      </c>
      <c r="J39" s="150">
        <f t="shared" si="2"/>
        <v>5789.81</v>
      </c>
      <c r="K39" s="151"/>
    </row>
    <row r="40" spans="1:11" s="72" customFormat="1" ht="25.5">
      <c r="A40" s="97" t="s">
        <v>102</v>
      </c>
      <c r="B40" s="98" t="s">
        <v>20</v>
      </c>
      <c r="C40" s="99" t="s">
        <v>103</v>
      </c>
      <c r="D40" s="100" t="s">
        <v>104</v>
      </c>
      <c r="E40" s="101" t="s">
        <v>68</v>
      </c>
      <c r="F40" s="111">
        <v>1269</v>
      </c>
      <c r="G40" s="112">
        <v>15.1</v>
      </c>
      <c r="H40" s="104">
        <f t="shared" si="3"/>
        <v>18.875</v>
      </c>
      <c r="I40" s="104">
        <f t="shared" si="1"/>
        <v>19161.896000000001</v>
      </c>
      <c r="J40" s="150">
        <f t="shared" si="2"/>
        <v>23952.37</v>
      </c>
      <c r="K40" s="151"/>
    </row>
    <row r="41" spans="1:11" s="72" customFormat="1">
      <c r="A41" s="97" t="s">
        <v>105</v>
      </c>
      <c r="B41" s="98" t="s">
        <v>20</v>
      </c>
      <c r="C41" s="99" t="s">
        <v>106</v>
      </c>
      <c r="D41" s="100" t="s">
        <v>107</v>
      </c>
      <c r="E41" s="101" t="s">
        <v>68</v>
      </c>
      <c r="F41" s="111">
        <v>10.4</v>
      </c>
      <c r="G41" s="112">
        <v>34.71</v>
      </c>
      <c r="H41" s="104">
        <f t="shared" si="3"/>
        <v>43.387500000000003</v>
      </c>
      <c r="I41" s="104">
        <f t="shared" si="1"/>
        <v>360.98399999999998</v>
      </c>
      <c r="J41" s="150">
        <f t="shared" si="2"/>
        <v>451.23</v>
      </c>
      <c r="K41" s="151"/>
    </row>
    <row r="42" spans="1:11" s="72" customFormat="1">
      <c r="A42" s="97" t="s">
        <v>108</v>
      </c>
      <c r="B42" s="98" t="s">
        <v>20</v>
      </c>
      <c r="C42" s="99" t="s">
        <v>109</v>
      </c>
      <c r="D42" s="100" t="s">
        <v>110</v>
      </c>
      <c r="E42" s="101" t="s">
        <v>57</v>
      </c>
      <c r="F42" s="111">
        <v>86.42</v>
      </c>
      <c r="G42" s="112">
        <v>17.329999999999998</v>
      </c>
      <c r="H42" s="104">
        <f t="shared" si="3"/>
        <v>21.662500000000001</v>
      </c>
      <c r="I42" s="104">
        <f t="shared" si="1"/>
        <v>1497.6559999999999</v>
      </c>
      <c r="J42" s="150">
        <f t="shared" si="2"/>
        <v>1872.07</v>
      </c>
      <c r="K42" s="151"/>
    </row>
    <row r="43" spans="1:11" s="72" customFormat="1" ht="25.5">
      <c r="A43" s="97" t="s">
        <v>111</v>
      </c>
      <c r="B43" s="98" t="s">
        <v>22</v>
      </c>
      <c r="C43" s="99" t="s">
        <v>112</v>
      </c>
      <c r="D43" s="100" t="s">
        <v>113</v>
      </c>
      <c r="E43" s="101" t="s">
        <v>53</v>
      </c>
      <c r="F43" s="111">
        <v>13</v>
      </c>
      <c r="G43" s="112">
        <v>2488.0300000000002</v>
      </c>
      <c r="H43" s="104">
        <f t="shared" si="3"/>
        <v>3110.0374999999999</v>
      </c>
      <c r="I43" s="104">
        <f t="shared" si="1"/>
        <v>32344.383999999998</v>
      </c>
      <c r="J43" s="150">
        <f t="shared" si="2"/>
        <v>40430.480000000003</v>
      </c>
      <c r="K43" s="151"/>
    </row>
    <row r="44" spans="1:11" s="72" customFormat="1" ht="25.5">
      <c r="A44" s="97" t="s">
        <v>114</v>
      </c>
      <c r="B44" s="98" t="s">
        <v>22</v>
      </c>
      <c r="C44" s="99" t="s">
        <v>115</v>
      </c>
      <c r="D44" s="100" t="s">
        <v>116</v>
      </c>
      <c r="E44" s="101" t="s">
        <v>53</v>
      </c>
      <c r="F44" s="111">
        <v>13</v>
      </c>
      <c r="G44" s="112">
        <v>510.17</v>
      </c>
      <c r="H44" s="104">
        <f t="shared" si="3"/>
        <v>637.71249999999998</v>
      </c>
      <c r="I44" s="104">
        <f t="shared" si="1"/>
        <v>6632.2079999999996</v>
      </c>
      <c r="J44" s="150">
        <f t="shared" si="2"/>
        <v>8290.26</v>
      </c>
      <c r="K44" s="151"/>
    </row>
    <row r="45" spans="1:11" s="72" customFormat="1">
      <c r="A45" s="113" t="s">
        <v>117</v>
      </c>
      <c r="B45" s="114" t="s">
        <v>20</v>
      </c>
      <c r="C45" s="115" t="s">
        <v>118</v>
      </c>
      <c r="D45" s="116" t="s">
        <v>119</v>
      </c>
      <c r="E45" s="117" t="s">
        <v>53</v>
      </c>
      <c r="F45" s="118">
        <v>13</v>
      </c>
      <c r="G45" s="119">
        <v>87.73</v>
      </c>
      <c r="H45" s="120">
        <f t="shared" ref="H45" si="4">G45*1.25</f>
        <v>109.66249999999999</v>
      </c>
      <c r="I45" s="120">
        <f t="shared" si="1"/>
        <v>1140.4880000000001</v>
      </c>
      <c r="J45" s="153">
        <f t="shared" si="2"/>
        <v>1425.61</v>
      </c>
      <c r="K45" s="151"/>
    </row>
    <row r="46" spans="1:11" s="72" customFormat="1" ht="32.1" customHeight="1">
      <c r="A46" s="230" t="s">
        <v>120</v>
      </c>
      <c r="B46" s="231"/>
      <c r="C46" s="231"/>
      <c r="D46" s="231"/>
      <c r="E46" s="231"/>
      <c r="F46" s="231"/>
      <c r="G46" s="231"/>
      <c r="H46" s="231"/>
      <c r="I46" s="231"/>
      <c r="J46" s="232"/>
    </row>
    <row r="47" spans="1:11" s="72" customFormat="1">
      <c r="A47" s="237" t="s">
        <v>30</v>
      </c>
      <c r="B47" s="238" t="s">
        <v>31</v>
      </c>
      <c r="C47" s="238" t="s">
        <v>32</v>
      </c>
      <c r="D47" s="239" t="s">
        <v>33</v>
      </c>
      <c r="E47" s="240" t="s">
        <v>34</v>
      </c>
      <c r="F47" s="233" t="s">
        <v>35</v>
      </c>
      <c r="G47" s="233" t="s">
        <v>121</v>
      </c>
      <c r="H47" s="233"/>
      <c r="I47" s="233" t="s">
        <v>6</v>
      </c>
      <c r="J47" s="234"/>
    </row>
    <row r="48" spans="1:11" s="72" customFormat="1" ht="32.1" customHeight="1">
      <c r="A48" s="237"/>
      <c r="B48" s="238"/>
      <c r="C48" s="238"/>
      <c r="D48" s="239"/>
      <c r="E48" s="240"/>
      <c r="F48" s="233"/>
      <c r="G48" s="92" t="s">
        <v>37</v>
      </c>
      <c r="H48" s="92" t="s">
        <v>38</v>
      </c>
      <c r="I48" s="92" t="s">
        <v>37</v>
      </c>
      <c r="J48" s="144" t="s">
        <v>38</v>
      </c>
    </row>
    <row r="49" spans="1:11" s="72" customFormat="1" ht="27.95" customHeight="1">
      <c r="A49" s="93" t="s">
        <v>122</v>
      </c>
      <c r="B49" s="235" t="s">
        <v>123</v>
      </c>
      <c r="C49" s="235"/>
      <c r="D49" s="235"/>
      <c r="E49" s="235"/>
      <c r="F49" s="235"/>
      <c r="G49" s="235"/>
      <c r="H49" s="235"/>
      <c r="I49" s="145">
        <f>SUBTOTAL(9,I50:I194)</f>
        <v>211357.41600000003</v>
      </c>
      <c r="J49" s="146">
        <f>SUBTOTAL(9,J50:J194)</f>
        <v>264196.7699999999</v>
      </c>
    </row>
    <row r="50" spans="1:11" s="72" customFormat="1">
      <c r="A50" s="121" t="s">
        <v>124</v>
      </c>
      <c r="B50" s="122"/>
      <c r="C50" s="123"/>
      <c r="D50" s="124" t="s">
        <v>125</v>
      </c>
      <c r="E50" s="122"/>
      <c r="F50" s="125"/>
      <c r="G50" s="126"/>
      <c r="H50" s="127" t="str">
        <f>IF(G50="","",ROUND(G50*(1+#REF!),2))</f>
        <v/>
      </c>
      <c r="I50" s="154">
        <f>SUBTOTAL(9,I51:I194)</f>
        <v>211357.41600000003</v>
      </c>
      <c r="J50" s="155">
        <f>SUBTOTAL(9,J51:J194)</f>
        <v>264196.7699999999</v>
      </c>
    </row>
    <row r="51" spans="1:11" s="72" customFormat="1" ht="25.5">
      <c r="A51" s="128" t="s">
        <v>126</v>
      </c>
      <c r="B51" s="129"/>
      <c r="C51" s="130"/>
      <c r="D51" s="131" t="s">
        <v>127</v>
      </c>
      <c r="E51" s="132"/>
      <c r="F51" s="133"/>
      <c r="G51" s="134"/>
      <c r="H51" s="135"/>
      <c r="I51" s="156">
        <f>SUBTOTAL(9,I52:I78)</f>
        <v>32234.624000000003</v>
      </c>
      <c r="J51" s="157">
        <f>SUBTOTAL(9,J52:J78)</f>
        <v>40293.279999999999</v>
      </c>
    </row>
    <row r="52" spans="1:11" s="72" customFormat="1">
      <c r="A52" s="97" t="s">
        <v>128</v>
      </c>
      <c r="B52" s="136" t="s">
        <v>26</v>
      </c>
      <c r="C52" s="99" t="s">
        <v>129</v>
      </c>
      <c r="D52" s="100" t="s">
        <v>130</v>
      </c>
      <c r="E52" s="101" t="s">
        <v>53</v>
      </c>
      <c r="F52" s="137">
        <v>16</v>
      </c>
      <c r="G52" s="112">
        <f t="shared" ref="G52:G57" si="5">H52/1.25</f>
        <v>109.75999999999999</v>
      </c>
      <c r="H52" s="104">
        <f>'PREÇOS DE MERCADO'!G22</f>
        <v>137.19999999999999</v>
      </c>
      <c r="I52" s="104">
        <f t="shared" ref="I52:I78" si="6">J52/1.25</f>
        <v>1756.1599999999999</v>
      </c>
      <c r="J52" s="152">
        <f t="shared" ref="J52:J78" si="7">TRUNC(F52*H52,2)</f>
        <v>2195.1999999999998</v>
      </c>
      <c r="K52" s="151"/>
    </row>
    <row r="53" spans="1:11" s="72" customFormat="1" ht="25.5">
      <c r="A53" s="97" t="s">
        <v>131</v>
      </c>
      <c r="B53" s="136" t="s">
        <v>59</v>
      </c>
      <c r="C53" s="99" t="s">
        <v>132</v>
      </c>
      <c r="D53" s="100" t="s">
        <v>133</v>
      </c>
      <c r="E53" s="101" t="s">
        <v>53</v>
      </c>
      <c r="F53" s="137">
        <v>2</v>
      </c>
      <c r="G53" s="103">
        <v>12.02</v>
      </c>
      <c r="H53" s="104">
        <f>G53*1.25</f>
        <v>15.024999999999999</v>
      </c>
      <c r="I53" s="104">
        <f t="shared" si="6"/>
        <v>24.04</v>
      </c>
      <c r="J53" s="150">
        <f t="shared" si="7"/>
        <v>30.05</v>
      </c>
      <c r="K53" s="151"/>
    </row>
    <row r="54" spans="1:11" s="72" customFormat="1">
      <c r="A54" s="97" t="s">
        <v>134</v>
      </c>
      <c r="B54" s="136" t="s">
        <v>26</v>
      </c>
      <c r="C54" s="99" t="s">
        <v>135</v>
      </c>
      <c r="D54" s="100" t="s">
        <v>136</v>
      </c>
      <c r="E54" s="101" t="s">
        <v>53</v>
      </c>
      <c r="F54" s="137">
        <v>1</v>
      </c>
      <c r="G54" s="112">
        <f t="shared" si="5"/>
        <v>39.768000000000001</v>
      </c>
      <c r="H54" s="104">
        <f>'PREÇOS DE MERCADO'!G23</f>
        <v>49.71</v>
      </c>
      <c r="I54" s="104">
        <f t="shared" si="6"/>
        <v>39.768000000000001</v>
      </c>
      <c r="J54" s="152">
        <f t="shared" si="7"/>
        <v>49.71</v>
      </c>
      <c r="K54" s="151"/>
    </row>
    <row r="55" spans="1:11" s="72" customFormat="1">
      <c r="A55" s="97" t="s">
        <v>137</v>
      </c>
      <c r="B55" s="136" t="s">
        <v>26</v>
      </c>
      <c r="C55" s="99" t="s">
        <v>138</v>
      </c>
      <c r="D55" s="100" t="s">
        <v>139</v>
      </c>
      <c r="E55" s="101" t="s">
        <v>53</v>
      </c>
      <c r="F55" s="137">
        <v>10</v>
      </c>
      <c r="G55" s="112">
        <f t="shared" si="5"/>
        <v>42.4</v>
      </c>
      <c r="H55" s="104">
        <f>'PREÇOS DE MERCADO'!G24</f>
        <v>53</v>
      </c>
      <c r="I55" s="104">
        <f t="shared" si="6"/>
        <v>424</v>
      </c>
      <c r="J55" s="152">
        <f t="shared" si="7"/>
        <v>530</v>
      </c>
      <c r="K55" s="151"/>
    </row>
    <row r="56" spans="1:11" s="72" customFormat="1">
      <c r="A56" s="97" t="s">
        <v>140</v>
      </c>
      <c r="B56" s="136" t="s">
        <v>26</v>
      </c>
      <c r="C56" s="99" t="s">
        <v>141</v>
      </c>
      <c r="D56" s="100" t="s">
        <v>142</v>
      </c>
      <c r="E56" s="101" t="s">
        <v>53</v>
      </c>
      <c r="F56" s="137">
        <v>10</v>
      </c>
      <c r="G56" s="112">
        <f t="shared" si="5"/>
        <v>4</v>
      </c>
      <c r="H56" s="104">
        <f>'PREÇOS DE MERCADO'!G25</f>
        <v>5</v>
      </c>
      <c r="I56" s="104">
        <f t="shared" si="6"/>
        <v>40</v>
      </c>
      <c r="J56" s="152">
        <f t="shared" si="7"/>
        <v>50</v>
      </c>
      <c r="K56" s="151"/>
    </row>
    <row r="57" spans="1:11" s="72" customFormat="1">
      <c r="A57" s="97" t="s">
        <v>143</v>
      </c>
      <c r="B57" s="136" t="s">
        <v>26</v>
      </c>
      <c r="C57" s="99" t="s">
        <v>144</v>
      </c>
      <c r="D57" s="100" t="s">
        <v>145</v>
      </c>
      <c r="E57" s="101" t="s">
        <v>53</v>
      </c>
      <c r="F57" s="137">
        <v>1</v>
      </c>
      <c r="G57" s="112">
        <f t="shared" si="5"/>
        <v>5.6560000000000006</v>
      </c>
      <c r="H57" s="104">
        <f>'PREÇOS DE MERCADO'!G27</f>
        <v>7.07</v>
      </c>
      <c r="I57" s="104">
        <f t="shared" si="6"/>
        <v>5.6560000000000006</v>
      </c>
      <c r="J57" s="152">
        <f t="shared" si="7"/>
        <v>7.07</v>
      </c>
      <c r="K57" s="151"/>
    </row>
    <row r="58" spans="1:11" s="72" customFormat="1">
      <c r="A58" s="97" t="s">
        <v>146</v>
      </c>
      <c r="B58" s="136" t="s">
        <v>20</v>
      </c>
      <c r="C58" s="99" t="s">
        <v>147</v>
      </c>
      <c r="D58" s="100" t="s">
        <v>148</v>
      </c>
      <c r="E58" s="101" t="s">
        <v>68</v>
      </c>
      <c r="F58" s="137">
        <v>20</v>
      </c>
      <c r="G58" s="103">
        <v>23.58</v>
      </c>
      <c r="H58" s="104">
        <f>G58*1.25</f>
        <v>29.474999999999998</v>
      </c>
      <c r="I58" s="104">
        <f t="shared" si="6"/>
        <v>471.6</v>
      </c>
      <c r="J58" s="150">
        <f t="shared" si="7"/>
        <v>589.5</v>
      </c>
      <c r="K58" s="151"/>
    </row>
    <row r="59" spans="1:11" s="72" customFormat="1" ht="25.5">
      <c r="A59" s="97" t="s">
        <v>149</v>
      </c>
      <c r="B59" s="136" t="s">
        <v>26</v>
      </c>
      <c r="C59" s="99" t="s">
        <v>150</v>
      </c>
      <c r="D59" s="100" t="s">
        <v>151</v>
      </c>
      <c r="E59" s="101" t="s">
        <v>68</v>
      </c>
      <c r="F59" s="137">
        <v>139</v>
      </c>
      <c r="G59" s="112">
        <f t="shared" ref="G59:G70" si="8">H59/1.25</f>
        <v>45.231999999999999</v>
      </c>
      <c r="H59" s="104">
        <f>'PREÇOS DE MERCADO'!G29</f>
        <v>56.54</v>
      </c>
      <c r="I59" s="104">
        <f t="shared" si="6"/>
        <v>6287.2480000000005</v>
      </c>
      <c r="J59" s="152">
        <f t="shared" si="7"/>
        <v>7859.06</v>
      </c>
      <c r="K59" s="151"/>
    </row>
    <row r="60" spans="1:11" s="72" customFormat="1">
      <c r="A60" s="97" t="s">
        <v>152</v>
      </c>
      <c r="B60" s="136" t="s">
        <v>26</v>
      </c>
      <c r="C60" s="99" t="s">
        <v>153</v>
      </c>
      <c r="D60" s="100" t="s">
        <v>154</v>
      </c>
      <c r="E60" s="101" t="s">
        <v>53</v>
      </c>
      <c r="F60" s="137">
        <v>3</v>
      </c>
      <c r="G60" s="112">
        <f t="shared" si="8"/>
        <v>54.239999999999995</v>
      </c>
      <c r="H60" s="104">
        <f>'PREÇOS DE MERCADO'!G30</f>
        <v>67.8</v>
      </c>
      <c r="I60" s="104">
        <f t="shared" si="6"/>
        <v>162.72</v>
      </c>
      <c r="J60" s="152">
        <f t="shared" si="7"/>
        <v>203.4</v>
      </c>
      <c r="K60" s="151"/>
    </row>
    <row r="61" spans="1:11" s="72" customFormat="1">
      <c r="A61" s="97" t="s">
        <v>155</v>
      </c>
      <c r="B61" s="136" t="s">
        <v>26</v>
      </c>
      <c r="C61" s="99" t="s">
        <v>156</v>
      </c>
      <c r="D61" s="100" t="s">
        <v>157</v>
      </c>
      <c r="E61" s="101" t="s">
        <v>53</v>
      </c>
      <c r="F61" s="137">
        <v>6</v>
      </c>
      <c r="G61" s="112">
        <f t="shared" si="8"/>
        <v>65.967999999999989</v>
      </c>
      <c r="H61" s="104">
        <f>'PREÇOS DE MERCADO'!G31</f>
        <v>82.46</v>
      </c>
      <c r="I61" s="104">
        <f t="shared" si="6"/>
        <v>395.80799999999999</v>
      </c>
      <c r="J61" s="152">
        <f t="shared" si="7"/>
        <v>494.76</v>
      </c>
      <c r="K61" s="151"/>
    </row>
    <row r="62" spans="1:11" s="72" customFormat="1">
      <c r="A62" s="97" t="s">
        <v>158</v>
      </c>
      <c r="B62" s="136" t="s">
        <v>26</v>
      </c>
      <c r="C62" s="99" t="s">
        <v>159</v>
      </c>
      <c r="D62" s="100" t="s">
        <v>160</v>
      </c>
      <c r="E62" s="101" t="s">
        <v>53</v>
      </c>
      <c r="F62" s="137">
        <v>6</v>
      </c>
      <c r="G62" s="112">
        <f t="shared" si="8"/>
        <v>75.391999999999996</v>
      </c>
      <c r="H62" s="104">
        <f>'PREÇOS DE MERCADO'!G32</f>
        <v>94.24</v>
      </c>
      <c r="I62" s="104">
        <f t="shared" si="6"/>
        <v>452.35200000000003</v>
      </c>
      <c r="J62" s="152">
        <f t="shared" si="7"/>
        <v>565.44000000000005</v>
      </c>
      <c r="K62" s="151"/>
    </row>
    <row r="63" spans="1:11" s="72" customFormat="1">
      <c r="A63" s="97" t="s">
        <v>161</v>
      </c>
      <c r="B63" s="136" t="s">
        <v>26</v>
      </c>
      <c r="C63" s="99" t="s">
        <v>162</v>
      </c>
      <c r="D63" s="100" t="s">
        <v>163</v>
      </c>
      <c r="E63" s="101" t="s">
        <v>53</v>
      </c>
      <c r="F63" s="137">
        <v>15</v>
      </c>
      <c r="G63" s="112">
        <f t="shared" si="8"/>
        <v>13.76</v>
      </c>
      <c r="H63" s="104">
        <f>'PREÇOS DE MERCADO'!G37</f>
        <v>17.2</v>
      </c>
      <c r="I63" s="104">
        <f t="shared" si="6"/>
        <v>206.4</v>
      </c>
      <c r="J63" s="152">
        <f t="shared" si="7"/>
        <v>258</v>
      </c>
      <c r="K63" s="151"/>
    </row>
    <row r="64" spans="1:11" s="72" customFormat="1">
      <c r="A64" s="97" t="s">
        <v>164</v>
      </c>
      <c r="B64" s="136" t="s">
        <v>26</v>
      </c>
      <c r="C64" s="99" t="s">
        <v>165</v>
      </c>
      <c r="D64" s="100" t="s">
        <v>166</v>
      </c>
      <c r="E64" s="101" t="s">
        <v>53</v>
      </c>
      <c r="F64" s="137">
        <v>2</v>
      </c>
      <c r="G64" s="112">
        <f t="shared" si="8"/>
        <v>39.583999999999996</v>
      </c>
      <c r="H64" s="104">
        <f>'PREÇOS DE MERCADO'!G41</f>
        <v>49.48</v>
      </c>
      <c r="I64" s="104">
        <f t="shared" si="6"/>
        <v>79.167999999999992</v>
      </c>
      <c r="J64" s="152">
        <f t="shared" si="7"/>
        <v>98.96</v>
      </c>
      <c r="K64" s="151"/>
    </row>
    <row r="65" spans="1:11" s="72" customFormat="1">
      <c r="A65" s="97" t="s">
        <v>167</v>
      </c>
      <c r="B65" s="136" t="s">
        <v>26</v>
      </c>
      <c r="C65" s="99" t="s">
        <v>168</v>
      </c>
      <c r="D65" s="100" t="s">
        <v>169</v>
      </c>
      <c r="E65" s="101" t="s">
        <v>53</v>
      </c>
      <c r="F65" s="137">
        <v>2</v>
      </c>
      <c r="G65" s="112">
        <f t="shared" si="8"/>
        <v>106.96</v>
      </c>
      <c r="H65" s="104">
        <f>'PREÇOS DE MERCADO'!G44</f>
        <v>133.69999999999999</v>
      </c>
      <c r="I65" s="104">
        <f t="shared" si="6"/>
        <v>213.92</v>
      </c>
      <c r="J65" s="152">
        <f t="shared" si="7"/>
        <v>267.39999999999998</v>
      </c>
      <c r="K65" s="151"/>
    </row>
    <row r="66" spans="1:11" s="72" customFormat="1">
      <c r="A66" s="97" t="s">
        <v>170</v>
      </c>
      <c r="B66" s="136" t="s">
        <v>26</v>
      </c>
      <c r="C66" s="99" t="s">
        <v>171</v>
      </c>
      <c r="D66" s="100" t="s">
        <v>172</v>
      </c>
      <c r="E66" s="101" t="s">
        <v>53</v>
      </c>
      <c r="F66" s="137">
        <v>2</v>
      </c>
      <c r="G66" s="112">
        <f t="shared" si="8"/>
        <v>282.71999999999997</v>
      </c>
      <c r="H66" s="104">
        <f>'PREÇOS DE MERCADO'!G45</f>
        <v>353.4</v>
      </c>
      <c r="I66" s="104">
        <f t="shared" si="6"/>
        <v>565.43999999999994</v>
      </c>
      <c r="J66" s="152">
        <f t="shared" si="7"/>
        <v>706.8</v>
      </c>
      <c r="K66" s="151"/>
    </row>
    <row r="67" spans="1:11" s="72" customFormat="1">
      <c r="A67" s="97" t="s">
        <v>173</v>
      </c>
      <c r="B67" s="136" t="s">
        <v>26</v>
      </c>
      <c r="C67" s="99" t="s">
        <v>174</v>
      </c>
      <c r="D67" s="100" t="s">
        <v>175</v>
      </c>
      <c r="E67" s="101" t="s">
        <v>53</v>
      </c>
      <c r="F67" s="137">
        <v>10</v>
      </c>
      <c r="G67" s="112">
        <f t="shared" si="8"/>
        <v>17.04</v>
      </c>
      <c r="H67" s="104">
        <f>'PREÇOS DE MERCADO'!G46</f>
        <v>21.3</v>
      </c>
      <c r="I67" s="104">
        <f t="shared" si="6"/>
        <v>170.4</v>
      </c>
      <c r="J67" s="152">
        <f t="shared" si="7"/>
        <v>213</v>
      </c>
      <c r="K67" s="151"/>
    </row>
    <row r="68" spans="1:11" s="72" customFormat="1">
      <c r="A68" s="97" t="s">
        <v>176</v>
      </c>
      <c r="B68" s="136" t="s">
        <v>26</v>
      </c>
      <c r="C68" s="99" t="s">
        <v>177</v>
      </c>
      <c r="D68" s="100" t="s">
        <v>178</v>
      </c>
      <c r="E68" s="101" t="s">
        <v>53</v>
      </c>
      <c r="F68" s="137">
        <v>3</v>
      </c>
      <c r="G68" s="112">
        <f t="shared" si="8"/>
        <v>20.8</v>
      </c>
      <c r="H68" s="104">
        <f>'PREÇOS DE MERCADO'!G47</f>
        <v>26</v>
      </c>
      <c r="I68" s="104">
        <f t="shared" si="6"/>
        <v>62.4</v>
      </c>
      <c r="J68" s="152">
        <f t="shared" si="7"/>
        <v>78</v>
      </c>
      <c r="K68" s="151"/>
    </row>
    <row r="69" spans="1:11" s="72" customFormat="1">
      <c r="A69" s="97" t="s">
        <v>179</v>
      </c>
      <c r="B69" s="136" t="s">
        <v>26</v>
      </c>
      <c r="C69" s="99" t="s">
        <v>180</v>
      </c>
      <c r="D69" s="100" t="s">
        <v>181</v>
      </c>
      <c r="E69" s="101" t="s">
        <v>53</v>
      </c>
      <c r="F69" s="137">
        <v>2</v>
      </c>
      <c r="G69" s="112">
        <f t="shared" si="8"/>
        <v>40</v>
      </c>
      <c r="H69" s="104">
        <f>'PREÇOS DE MERCADO'!G48</f>
        <v>50</v>
      </c>
      <c r="I69" s="104">
        <f t="shared" si="6"/>
        <v>80</v>
      </c>
      <c r="J69" s="152">
        <f t="shared" si="7"/>
        <v>100</v>
      </c>
      <c r="K69" s="151"/>
    </row>
    <row r="70" spans="1:11" s="72" customFormat="1">
      <c r="A70" s="97" t="s">
        <v>182</v>
      </c>
      <c r="B70" s="136" t="s">
        <v>26</v>
      </c>
      <c r="C70" s="99" t="s">
        <v>183</v>
      </c>
      <c r="D70" s="100" t="s">
        <v>184</v>
      </c>
      <c r="E70" s="101" t="s">
        <v>53</v>
      </c>
      <c r="F70" s="137">
        <v>11</v>
      </c>
      <c r="G70" s="112">
        <f t="shared" si="8"/>
        <v>13.391999999999999</v>
      </c>
      <c r="H70" s="104">
        <f>'PREÇOS DE MERCADO'!G50</f>
        <v>16.739999999999998</v>
      </c>
      <c r="I70" s="104">
        <f t="shared" si="6"/>
        <v>147.31199999999998</v>
      </c>
      <c r="J70" s="152">
        <f t="shared" si="7"/>
        <v>184.14</v>
      </c>
      <c r="K70" s="151"/>
    </row>
    <row r="71" spans="1:11" s="72" customFormat="1">
      <c r="A71" s="97" t="s">
        <v>185</v>
      </c>
      <c r="B71" s="136" t="s">
        <v>186</v>
      </c>
      <c r="C71" s="99" t="s">
        <v>187</v>
      </c>
      <c r="D71" s="100" t="s">
        <v>188</v>
      </c>
      <c r="E71" s="101" t="s">
        <v>53</v>
      </c>
      <c r="F71" s="137">
        <v>3</v>
      </c>
      <c r="G71" s="103">
        <v>2609.71</v>
      </c>
      <c r="H71" s="104">
        <f t="shared" ref="H71:H77" si="9">G71*1.25</f>
        <v>3262.1374999999998</v>
      </c>
      <c r="I71" s="104">
        <f t="shared" si="6"/>
        <v>7829.1279999999997</v>
      </c>
      <c r="J71" s="150">
        <f t="shared" si="7"/>
        <v>9786.41</v>
      </c>
      <c r="K71" s="151"/>
    </row>
    <row r="72" spans="1:11" s="72" customFormat="1">
      <c r="A72" s="97" t="s">
        <v>189</v>
      </c>
      <c r="B72" s="136" t="s">
        <v>186</v>
      </c>
      <c r="C72" s="99" t="s">
        <v>190</v>
      </c>
      <c r="D72" s="100" t="s">
        <v>191</v>
      </c>
      <c r="E72" s="101" t="s">
        <v>53</v>
      </c>
      <c r="F72" s="137">
        <v>2</v>
      </c>
      <c r="G72" s="103">
        <v>3181.92</v>
      </c>
      <c r="H72" s="104">
        <f t="shared" si="9"/>
        <v>3977.4</v>
      </c>
      <c r="I72" s="104">
        <f t="shared" si="6"/>
        <v>6363.84</v>
      </c>
      <c r="J72" s="150">
        <f t="shared" si="7"/>
        <v>7954.8</v>
      </c>
      <c r="K72" s="151"/>
    </row>
    <row r="73" spans="1:11" s="72" customFormat="1">
      <c r="A73" s="97" t="s">
        <v>192</v>
      </c>
      <c r="B73" s="136" t="s">
        <v>26</v>
      </c>
      <c r="C73" s="99" t="s">
        <v>193</v>
      </c>
      <c r="D73" s="100" t="s">
        <v>194</v>
      </c>
      <c r="E73" s="101" t="s">
        <v>53</v>
      </c>
      <c r="F73" s="137">
        <v>4</v>
      </c>
      <c r="G73" s="112">
        <f t="shared" ref="G73:G78" si="10">H73/1.25</f>
        <v>184.64000000000001</v>
      </c>
      <c r="H73" s="104">
        <f>'PREÇOS DE MERCADO'!G52</f>
        <v>230.8</v>
      </c>
      <c r="I73" s="104">
        <f t="shared" si="6"/>
        <v>738.56000000000006</v>
      </c>
      <c r="J73" s="152">
        <f t="shared" si="7"/>
        <v>923.2</v>
      </c>
      <c r="K73" s="151"/>
    </row>
    <row r="74" spans="1:11" s="72" customFormat="1" ht="25.5">
      <c r="A74" s="97" t="s">
        <v>195</v>
      </c>
      <c r="B74" s="136" t="s">
        <v>59</v>
      </c>
      <c r="C74" s="99" t="s">
        <v>196</v>
      </c>
      <c r="D74" s="100" t="s">
        <v>197</v>
      </c>
      <c r="E74" s="101" t="s">
        <v>53</v>
      </c>
      <c r="F74" s="137">
        <v>5</v>
      </c>
      <c r="G74" s="103">
        <v>510.17</v>
      </c>
      <c r="H74" s="104">
        <f>G74*1.25</f>
        <v>637.71249999999998</v>
      </c>
      <c r="I74" s="104">
        <f t="shared" si="6"/>
        <v>2550.848</v>
      </c>
      <c r="J74" s="150">
        <f t="shared" si="7"/>
        <v>3188.56</v>
      </c>
      <c r="K74" s="151"/>
    </row>
    <row r="75" spans="1:11" s="72" customFormat="1">
      <c r="A75" s="97" t="s">
        <v>198</v>
      </c>
      <c r="B75" s="136" t="s">
        <v>26</v>
      </c>
      <c r="C75" s="99" t="s">
        <v>199</v>
      </c>
      <c r="D75" s="100" t="s">
        <v>200</v>
      </c>
      <c r="E75" s="101" t="s">
        <v>53</v>
      </c>
      <c r="F75" s="137">
        <v>5</v>
      </c>
      <c r="G75" s="112">
        <f t="shared" si="10"/>
        <v>471.2</v>
      </c>
      <c r="H75" s="104">
        <f>'PREÇOS DE MERCADO'!G53</f>
        <v>589</v>
      </c>
      <c r="I75" s="104">
        <f t="shared" si="6"/>
        <v>2356</v>
      </c>
      <c r="J75" s="152">
        <f t="shared" si="7"/>
        <v>2945</v>
      </c>
      <c r="K75" s="151"/>
    </row>
    <row r="76" spans="1:11" s="72" customFormat="1" ht="25.5">
      <c r="A76" s="97" t="s">
        <v>201</v>
      </c>
      <c r="B76" s="136" t="s">
        <v>186</v>
      </c>
      <c r="C76" s="99" t="s">
        <v>202</v>
      </c>
      <c r="D76" s="100" t="s">
        <v>203</v>
      </c>
      <c r="E76" s="101" t="s">
        <v>68</v>
      </c>
      <c r="F76" s="137">
        <v>25</v>
      </c>
      <c r="G76" s="103">
        <v>3.86</v>
      </c>
      <c r="H76" s="104">
        <f t="shared" si="9"/>
        <v>4.8250000000000002</v>
      </c>
      <c r="I76" s="104">
        <f t="shared" si="6"/>
        <v>96.495999999999995</v>
      </c>
      <c r="J76" s="150">
        <f t="shared" si="7"/>
        <v>120.62</v>
      </c>
      <c r="K76" s="151"/>
    </row>
    <row r="77" spans="1:11" s="72" customFormat="1">
      <c r="A77" s="97" t="s">
        <v>204</v>
      </c>
      <c r="B77" s="136" t="s">
        <v>186</v>
      </c>
      <c r="C77" s="99" t="s">
        <v>118</v>
      </c>
      <c r="D77" s="100" t="s">
        <v>119</v>
      </c>
      <c r="E77" s="101" t="s">
        <v>53</v>
      </c>
      <c r="F77" s="137">
        <v>1</v>
      </c>
      <c r="G77" s="103">
        <v>87.73</v>
      </c>
      <c r="H77" s="104">
        <f t="shared" si="9"/>
        <v>109.66249999999999</v>
      </c>
      <c r="I77" s="104">
        <f t="shared" si="6"/>
        <v>87.727999999999994</v>
      </c>
      <c r="J77" s="150">
        <f t="shared" si="7"/>
        <v>109.66</v>
      </c>
      <c r="K77" s="151"/>
    </row>
    <row r="78" spans="1:11" s="72" customFormat="1">
      <c r="A78" s="97" t="s">
        <v>205</v>
      </c>
      <c r="B78" s="136" t="s">
        <v>26</v>
      </c>
      <c r="C78" s="99" t="s">
        <v>206</v>
      </c>
      <c r="D78" s="100" t="s">
        <v>207</v>
      </c>
      <c r="E78" s="101" t="s">
        <v>53</v>
      </c>
      <c r="F78" s="137">
        <v>1</v>
      </c>
      <c r="G78" s="112">
        <f t="shared" si="10"/>
        <v>627.63199999999995</v>
      </c>
      <c r="H78" s="104">
        <f>'PREÇOS DE MERCADO'!G54</f>
        <v>784.54</v>
      </c>
      <c r="I78" s="104">
        <f t="shared" si="6"/>
        <v>627.63199999999995</v>
      </c>
      <c r="J78" s="152">
        <f t="shared" si="7"/>
        <v>784.54</v>
      </c>
      <c r="K78" s="151"/>
    </row>
    <row r="79" spans="1:11" s="72" customFormat="1" ht="25.5">
      <c r="A79" s="128" t="s">
        <v>208</v>
      </c>
      <c r="B79" s="129"/>
      <c r="C79" s="130"/>
      <c r="D79" s="131" t="s">
        <v>209</v>
      </c>
      <c r="E79" s="132"/>
      <c r="F79" s="133"/>
      <c r="G79" s="134"/>
      <c r="H79" s="135"/>
      <c r="I79" s="156">
        <f>SUBTOTAL(9,I80:I136)</f>
        <v>94815.455999999976</v>
      </c>
      <c r="J79" s="157">
        <f>SUBTOTAL(9,J80:J136)</f>
        <v>118519.31999999999</v>
      </c>
    </row>
    <row r="80" spans="1:11" s="72" customFormat="1">
      <c r="A80" s="97" t="s">
        <v>210</v>
      </c>
      <c r="B80" s="158" t="s">
        <v>26</v>
      </c>
      <c r="C80" s="99" t="s">
        <v>129</v>
      </c>
      <c r="D80" s="159" t="s">
        <v>130</v>
      </c>
      <c r="E80" s="158" t="s">
        <v>53</v>
      </c>
      <c r="F80" s="137">
        <v>24</v>
      </c>
      <c r="G80" s="112">
        <f t="shared" ref="G80:G83" si="11">H80/1.25</f>
        <v>109.75999999999999</v>
      </c>
      <c r="H80" s="104">
        <f>'PREÇOS DE MERCADO'!G22</f>
        <v>137.19999999999999</v>
      </c>
      <c r="I80" s="104">
        <f t="shared" ref="I80:I136" si="12">J80/1.25</f>
        <v>2634.2400000000002</v>
      </c>
      <c r="J80" s="152">
        <f t="shared" ref="J80:J136" si="13">TRUNC(F80*H80,2)</f>
        <v>3292.8</v>
      </c>
      <c r="K80" s="151"/>
    </row>
    <row r="81" spans="1:11" s="72" customFormat="1" ht="25.5">
      <c r="A81" s="97" t="s">
        <v>211</v>
      </c>
      <c r="B81" s="136" t="s">
        <v>22</v>
      </c>
      <c r="C81" s="99" t="s">
        <v>132</v>
      </c>
      <c r="D81" s="160" t="s">
        <v>133</v>
      </c>
      <c r="E81" s="158" t="s">
        <v>53</v>
      </c>
      <c r="F81" s="137">
        <v>4</v>
      </c>
      <c r="G81" s="103">
        <v>12.02</v>
      </c>
      <c r="H81" s="104">
        <f>G81*1.25</f>
        <v>15.024999999999999</v>
      </c>
      <c r="I81" s="104">
        <f t="shared" si="12"/>
        <v>48.08</v>
      </c>
      <c r="J81" s="150">
        <f t="shared" si="13"/>
        <v>60.1</v>
      </c>
      <c r="K81" s="151"/>
    </row>
    <row r="82" spans="1:11" s="72" customFormat="1">
      <c r="A82" s="97" t="s">
        <v>212</v>
      </c>
      <c r="B82" s="158" t="s">
        <v>26</v>
      </c>
      <c r="C82" s="99" t="s">
        <v>138</v>
      </c>
      <c r="D82" s="159" t="s">
        <v>139</v>
      </c>
      <c r="E82" s="158" t="s">
        <v>53</v>
      </c>
      <c r="F82" s="137">
        <v>15</v>
      </c>
      <c r="G82" s="112">
        <f t="shared" si="11"/>
        <v>42.4</v>
      </c>
      <c r="H82" s="104">
        <f>'PREÇOS DE MERCADO'!G24</f>
        <v>53</v>
      </c>
      <c r="I82" s="104">
        <f t="shared" si="12"/>
        <v>636</v>
      </c>
      <c r="J82" s="152">
        <f t="shared" si="13"/>
        <v>795</v>
      </c>
      <c r="K82" s="151"/>
    </row>
    <row r="83" spans="1:11" s="72" customFormat="1">
      <c r="A83" s="97" t="s">
        <v>213</v>
      </c>
      <c r="B83" s="158" t="s">
        <v>26</v>
      </c>
      <c r="C83" s="99" t="s">
        <v>141</v>
      </c>
      <c r="D83" s="159" t="s">
        <v>142</v>
      </c>
      <c r="E83" s="158" t="s">
        <v>53</v>
      </c>
      <c r="F83" s="137">
        <v>12</v>
      </c>
      <c r="G83" s="112">
        <f t="shared" si="11"/>
        <v>4</v>
      </c>
      <c r="H83" s="104">
        <f>'PREÇOS DE MERCADO'!G25</f>
        <v>5</v>
      </c>
      <c r="I83" s="104">
        <f t="shared" si="12"/>
        <v>48</v>
      </c>
      <c r="J83" s="152">
        <f t="shared" si="13"/>
        <v>60</v>
      </c>
      <c r="K83" s="151"/>
    </row>
    <row r="84" spans="1:11" s="72" customFormat="1">
      <c r="A84" s="97" t="s">
        <v>214</v>
      </c>
      <c r="B84" s="136" t="s">
        <v>186</v>
      </c>
      <c r="C84" s="99" t="s">
        <v>147</v>
      </c>
      <c r="D84" s="160" t="s">
        <v>148</v>
      </c>
      <c r="E84" s="158" t="s">
        <v>68</v>
      </c>
      <c r="F84" s="137">
        <v>10</v>
      </c>
      <c r="G84" s="103">
        <v>23.58</v>
      </c>
      <c r="H84" s="104">
        <f>G84*1.25</f>
        <v>29.474999999999998</v>
      </c>
      <c r="I84" s="104">
        <f t="shared" si="12"/>
        <v>235.8</v>
      </c>
      <c r="J84" s="150">
        <f t="shared" si="13"/>
        <v>294.75</v>
      </c>
      <c r="K84" s="151"/>
    </row>
    <row r="85" spans="1:11" s="72" customFormat="1" ht="25.5">
      <c r="A85" s="97" t="s">
        <v>215</v>
      </c>
      <c r="B85" s="158" t="s">
        <v>26</v>
      </c>
      <c r="C85" s="99" t="s">
        <v>150</v>
      </c>
      <c r="D85" s="161" t="s">
        <v>151</v>
      </c>
      <c r="E85" s="158" t="s">
        <v>68</v>
      </c>
      <c r="F85" s="137">
        <v>200</v>
      </c>
      <c r="G85" s="112">
        <f t="shared" ref="G85:G101" si="14">H85/1.25</f>
        <v>45.231999999999999</v>
      </c>
      <c r="H85" s="104">
        <f>'PREÇOS DE MERCADO'!G29</f>
        <v>56.54</v>
      </c>
      <c r="I85" s="104">
        <f t="shared" si="12"/>
        <v>9046.4</v>
      </c>
      <c r="J85" s="152">
        <f t="shared" si="13"/>
        <v>11308</v>
      </c>
      <c r="K85" s="151"/>
    </row>
    <row r="86" spans="1:11" s="72" customFormat="1">
      <c r="A86" s="97" t="s">
        <v>216</v>
      </c>
      <c r="B86" s="158" t="s">
        <v>26</v>
      </c>
      <c r="C86" s="99" t="s">
        <v>153</v>
      </c>
      <c r="D86" s="159" t="s">
        <v>154</v>
      </c>
      <c r="E86" s="158" t="s">
        <v>53</v>
      </c>
      <c r="F86" s="137">
        <v>4</v>
      </c>
      <c r="G86" s="112">
        <f t="shared" si="14"/>
        <v>54.239999999999995</v>
      </c>
      <c r="H86" s="104">
        <f>'PREÇOS DE MERCADO'!G30</f>
        <v>67.8</v>
      </c>
      <c r="I86" s="104">
        <f t="shared" si="12"/>
        <v>216.95999999999998</v>
      </c>
      <c r="J86" s="152">
        <f t="shared" si="13"/>
        <v>271.2</v>
      </c>
      <c r="K86" s="151"/>
    </row>
    <row r="87" spans="1:11" s="72" customFormat="1">
      <c r="A87" s="97" t="s">
        <v>217</v>
      </c>
      <c r="B87" s="158" t="s">
        <v>26</v>
      </c>
      <c r="C87" s="99" t="s">
        <v>156</v>
      </c>
      <c r="D87" s="159" t="s">
        <v>157</v>
      </c>
      <c r="E87" s="158" t="s">
        <v>53</v>
      </c>
      <c r="F87" s="137">
        <v>8</v>
      </c>
      <c r="G87" s="112">
        <f t="shared" si="14"/>
        <v>65.967999999999989</v>
      </c>
      <c r="H87" s="104">
        <f>'PREÇOS DE MERCADO'!G31</f>
        <v>82.46</v>
      </c>
      <c r="I87" s="104">
        <f t="shared" si="12"/>
        <v>527.74399999999991</v>
      </c>
      <c r="J87" s="152">
        <f t="shared" si="13"/>
        <v>659.68</v>
      </c>
      <c r="K87" s="151"/>
    </row>
    <row r="88" spans="1:11" s="72" customFormat="1">
      <c r="A88" s="97" t="s">
        <v>218</v>
      </c>
      <c r="B88" s="158" t="s">
        <v>26</v>
      </c>
      <c r="C88" s="99" t="s">
        <v>159</v>
      </c>
      <c r="D88" s="159" t="s">
        <v>160</v>
      </c>
      <c r="E88" s="158" t="s">
        <v>53</v>
      </c>
      <c r="F88" s="137">
        <v>7</v>
      </c>
      <c r="G88" s="112">
        <f t="shared" si="14"/>
        <v>75.391999999999996</v>
      </c>
      <c r="H88" s="104">
        <f>'PREÇOS DE MERCADO'!G32</f>
        <v>94.24</v>
      </c>
      <c r="I88" s="104">
        <f t="shared" si="12"/>
        <v>527.74399999999991</v>
      </c>
      <c r="J88" s="152">
        <f t="shared" si="13"/>
        <v>659.68</v>
      </c>
      <c r="K88" s="151"/>
    </row>
    <row r="89" spans="1:11" s="72" customFormat="1">
      <c r="A89" s="97" t="s">
        <v>219</v>
      </c>
      <c r="B89" s="158" t="s">
        <v>26</v>
      </c>
      <c r="C89" s="99" t="s">
        <v>220</v>
      </c>
      <c r="D89" s="159" t="s">
        <v>221</v>
      </c>
      <c r="E89" s="158" t="s">
        <v>53</v>
      </c>
      <c r="F89" s="137">
        <v>1</v>
      </c>
      <c r="G89" s="112">
        <f t="shared" si="14"/>
        <v>113.08800000000001</v>
      </c>
      <c r="H89" s="104">
        <f>'PREÇOS DE MERCADO'!G35</f>
        <v>141.36000000000001</v>
      </c>
      <c r="I89" s="104">
        <f t="shared" si="12"/>
        <v>113.08800000000001</v>
      </c>
      <c r="J89" s="152">
        <f t="shared" si="13"/>
        <v>141.36000000000001</v>
      </c>
      <c r="K89" s="151"/>
    </row>
    <row r="90" spans="1:11" s="72" customFormat="1">
      <c r="A90" s="97" t="s">
        <v>222</v>
      </c>
      <c r="B90" s="158" t="s">
        <v>26</v>
      </c>
      <c r="C90" s="99" t="s">
        <v>162</v>
      </c>
      <c r="D90" s="159" t="s">
        <v>163</v>
      </c>
      <c r="E90" s="158" t="s">
        <v>53</v>
      </c>
      <c r="F90" s="137">
        <v>18</v>
      </c>
      <c r="G90" s="112">
        <f t="shared" si="14"/>
        <v>13.76</v>
      </c>
      <c r="H90" s="104">
        <f>'PREÇOS DE MERCADO'!G37</f>
        <v>17.2</v>
      </c>
      <c r="I90" s="104">
        <f t="shared" si="12"/>
        <v>247.68</v>
      </c>
      <c r="J90" s="152">
        <f t="shared" si="13"/>
        <v>309.60000000000002</v>
      </c>
      <c r="K90" s="151"/>
    </row>
    <row r="91" spans="1:11" s="72" customFormat="1">
      <c r="A91" s="97" t="s">
        <v>223</v>
      </c>
      <c r="B91" s="158" t="s">
        <v>26</v>
      </c>
      <c r="C91" s="99" t="s">
        <v>224</v>
      </c>
      <c r="D91" s="159" t="s">
        <v>225</v>
      </c>
      <c r="E91" s="158" t="s">
        <v>53</v>
      </c>
      <c r="F91" s="137">
        <v>3</v>
      </c>
      <c r="G91" s="112">
        <f t="shared" si="14"/>
        <v>30.8</v>
      </c>
      <c r="H91" s="104">
        <f>'PREÇOS DE MERCADO'!G38</f>
        <v>38.5</v>
      </c>
      <c r="I91" s="104">
        <f t="shared" si="12"/>
        <v>92.4</v>
      </c>
      <c r="J91" s="152">
        <f t="shared" si="13"/>
        <v>115.5</v>
      </c>
      <c r="K91" s="151"/>
    </row>
    <row r="92" spans="1:11" s="72" customFormat="1">
      <c r="A92" s="97" t="s">
        <v>226</v>
      </c>
      <c r="B92" s="158" t="s">
        <v>26</v>
      </c>
      <c r="C92" s="99" t="s">
        <v>227</v>
      </c>
      <c r="D92" s="159" t="s">
        <v>228</v>
      </c>
      <c r="E92" s="158" t="s">
        <v>53</v>
      </c>
      <c r="F92" s="137">
        <v>1</v>
      </c>
      <c r="G92" s="112">
        <f t="shared" si="14"/>
        <v>36</v>
      </c>
      <c r="H92" s="104">
        <f>'PREÇOS DE MERCADO'!G39</f>
        <v>45</v>
      </c>
      <c r="I92" s="104">
        <f t="shared" si="12"/>
        <v>36</v>
      </c>
      <c r="J92" s="152">
        <f t="shared" si="13"/>
        <v>45</v>
      </c>
      <c r="K92" s="151"/>
    </row>
    <row r="93" spans="1:11" s="72" customFormat="1">
      <c r="A93" s="97" t="s">
        <v>229</v>
      </c>
      <c r="B93" s="158" t="s">
        <v>26</v>
      </c>
      <c r="C93" s="99" t="s">
        <v>165</v>
      </c>
      <c r="D93" s="159" t="s">
        <v>166</v>
      </c>
      <c r="E93" s="158" t="s">
        <v>53</v>
      </c>
      <c r="F93" s="137">
        <v>1</v>
      </c>
      <c r="G93" s="112">
        <f t="shared" si="14"/>
        <v>39.583999999999996</v>
      </c>
      <c r="H93" s="104">
        <f>'PREÇOS DE MERCADO'!G41</f>
        <v>49.48</v>
      </c>
      <c r="I93" s="104">
        <f t="shared" si="12"/>
        <v>39.583999999999996</v>
      </c>
      <c r="J93" s="152">
        <f t="shared" si="13"/>
        <v>49.48</v>
      </c>
      <c r="K93" s="151"/>
    </row>
    <row r="94" spans="1:11" s="72" customFormat="1">
      <c r="A94" s="97" t="s">
        <v>230</v>
      </c>
      <c r="B94" s="158" t="s">
        <v>26</v>
      </c>
      <c r="C94" s="99" t="s">
        <v>231</v>
      </c>
      <c r="D94" s="159" t="s">
        <v>232</v>
      </c>
      <c r="E94" s="158" t="s">
        <v>233</v>
      </c>
      <c r="F94" s="137">
        <v>1</v>
      </c>
      <c r="G94" s="112">
        <f t="shared" si="14"/>
        <v>20</v>
      </c>
      <c r="H94" s="104">
        <f>'PREÇOS DE MERCADO'!G42</f>
        <v>25</v>
      </c>
      <c r="I94" s="104">
        <f t="shared" si="12"/>
        <v>20</v>
      </c>
      <c r="J94" s="152">
        <f t="shared" si="13"/>
        <v>25</v>
      </c>
      <c r="K94" s="151"/>
    </row>
    <row r="95" spans="1:11" s="72" customFormat="1">
      <c r="A95" s="97" t="s">
        <v>234</v>
      </c>
      <c r="B95" s="158" t="s">
        <v>26</v>
      </c>
      <c r="C95" s="99" t="s">
        <v>235</v>
      </c>
      <c r="D95" s="159" t="s">
        <v>236</v>
      </c>
      <c r="E95" s="158" t="s">
        <v>233</v>
      </c>
      <c r="F95" s="137">
        <v>1</v>
      </c>
      <c r="G95" s="112">
        <f t="shared" si="14"/>
        <v>36.96</v>
      </c>
      <c r="H95" s="104">
        <f>'PREÇOS DE MERCADO'!G43</f>
        <v>46.2</v>
      </c>
      <c r="I95" s="104">
        <f t="shared" si="12"/>
        <v>36.96</v>
      </c>
      <c r="J95" s="152">
        <f t="shared" si="13"/>
        <v>46.2</v>
      </c>
      <c r="K95" s="151"/>
    </row>
    <row r="96" spans="1:11" s="72" customFormat="1">
      <c r="A96" s="97" t="s">
        <v>237</v>
      </c>
      <c r="B96" s="158" t="s">
        <v>26</v>
      </c>
      <c r="C96" s="99" t="s">
        <v>168</v>
      </c>
      <c r="D96" s="159" t="s">
        <v>169</v>
      </c>
      <c r="E96" s="158" t="s">
        <v>53</v>
      </c>
      <c r="F96" s="137">
        <v>1</v>
      </c>
      <c r="G96" s="112">
        <f t="shared" si="14"/>
        <v>106.96</v>
      </c>
      <c r="H96" s="104">
        <f>'PREÇOS DE MERCADO'!G44</f>
        <v>133.69999999999999</v>
      </c>
      <c r="I96" s="104">
        <f t="shared" si="12"/>
        <v>106.96</v>
      </c>
      <c r="J96" s="152">
        <f t="shared" si="13"/>
        <v>133.69999999999999</v>
      </c>
      <c r="K96" s="151"/>
    </row>
    <row r="97" spans="1:11" s="72" customFormat="1">
      <c r="A97" s="97" t="s">
        <v>238</v>
      </c>
      <c r="B97" s="158" t="s">
        <v>26</v>
      </c>
      <c r="C97" s="99" t="s">
        <v>171</v>
      </c>
      <c r="D97" s="159" t="s">
        <v>172</v>
      </c>
      <c r="E97" s="158" t="s">
        <v>53</v>
      </c>
      <c r="F97" s="137">
        <v>8</v>
      </c>
      <c r="G97" s="112">
        <f t="shared" si="14"/>
        <v>282.71999999999997</v>
      </c>
      <c r="H97" s="104">
        <f>'PREÇOS DE MERCADO'!G45</f>
        <v>353.4</v>
      </c>
      <c r="I97" s="104">
        <f t="shared" si="12"/>
        <v>2261.7599999999998</v>
      </c>
      <c r="J97" s="152">
        <f t="shared" si="13"/>
        <v>2827.2</v>
      </c>
      <c r="K97" s="151"/>
    </row>
    <row r="98" spans="1:11" s="72" customFormat="1">
      <c r="A98" s="97" t="s">
        <v>239</v>
      </c>
      <c r="B98" s="158" t="s">
        <v>26</v>
      </c>
      <c r="C98" s="99" t="s">
        <v>174</v>
      </c>
      <c r="D98" s="159" t="s">
        <v>175</v>
      </c>
      <c r="E98" s="158" t="s">
        <v>53</v>
      </c>
      <c r="F98" s="137">
        <v>15</v>
      </c>
      <c r="G98" s="112">
        <f t="shared" si="14"/>
        <v>17.04</v>
      </c>
      <c r="H98" s="104">
        <f>'PREÇOS DE MERCADO'!G46</f>
        <v>21.3</v>
      </c>
      <c r="I98" s="104">
        <f t="shared" si="12"/>
        <v>255.6</v>
      </c>
      <c r="J98" s="152">
        <f t="shared" si="13"/>
        <v>319.5</v>
      </c>
      <c r="K98" s="151"/>
    </row>
    <row r="99" spans="1:11" s="72" customFormat="1">
      <c r="A99" s="97" t="s">
        <v>240</v>
      </c>
      <c r="B99" s="158" t="s">
        <v>26</v>
      </c>
      <c r="C99" s="99" t="s">
        <v>177</v>
      </c>
      <c r="D99" s="159" t="s">
        <v>178</v>
      </c>
      <c r="E99" s="158" t="s">
        <v>53</v>
      </c>
      <c r="F99" s="137">
        <v>4</v>
      </c>
      <c r="G99" s="112">
        <f t="shared" si="14"/>
        <v>20.8</v>
      </c>
      <c r="H99" s="104">
        <f>'PREÇOS DE MERCADO'!G47</f>
        <v>26</v>
      </c>
      <c r="I99" s="104">
        <f t="shared" si="12"/>
        <v>83.2</v>
      </c>
      <c r="J99" s="152">
        <f t="shared" si="13"/>
        <v>104</v>
      </c>
      <c r="K99" s="151"/>
    </row>
    <row r="100" spans="1:11" s="72" customFormat="1">
      <c r="A100" s="97" t="s">
        <v>241</v>
      </c>
      <c r="B100" s="158" t="s">
        <v>26</v>
      </c>
      <c r="C100" s="99" t="s">
        <v>180</v>
      </c>
      <c r="D100" s="159" t="s">
        <v>181</v>
      </c>
      <c r="E100" s="158" t="s">
        <v>53</v>
      </c>
      <c r="F100" s="137">
        <v>1</v>
      </c>
      <c r="G100" s="112">
        <f t="shared" si="14"/>
        <v>40</v>
      </c>
      <c r="H100" s="104">
        <f>'PREÇOS DE MERCADO'!G48</f>
        <v>50</v>
      </c>
      <c r="I100" s="104">
        <f t="shared" si="12"/>
        <v>40</v>
      </c>
      <c r="J100" s="152">
        <f t="shared" si="13"/>
        <v>50</v>
      </c>
      <c r="K100" s="151"/>
    </row>
    <row r="101" spans="1:11" s="72" customFormat="1">
      <c r="A101" s="97" t="s">
        <v>242</v>
      </c>
      <c r="B101" s="158" t="s">
        <v>26</v>
      </c>
      <c r="C101" s="99" t="s">
        <v>183</v>
      </c>
      <c r="D101" s="159" t="s">
        <v>184</v>
      </c>
      <c r="E101" s="158" t="s">
        <v>53</v>
      </c>
      <c r="F101" s="137">
        <v>12</v>
      </c>
      <c r="G101" s="112">
        <f t="shared" si="14"/>
        <v>13.391999999999999</v>
      </c>
      <c r="H101" s="104">
        <f>'PREÇOS DE MERCADO'!G50</f>
        <v>16.739999999999998</v>
      </c>
      <c r="I101" s="104">
        <f t="shared" si="12"/>
        <v>160.70400000000001</v>
      </c>
      <c r="J101" s="150">
        <f t="shared" si="13"/>
        <v>200.88</v>
      </c>
      <c r="K101" s="151"/>
    </row>
    <row r="102" spans="1:11" s="72" customFormat="1">
      <c r="A102" s="97" t="s">
        <v>243</v>
      </c>
      <c r="B102" s="136" t="s">
        <v>20</v>
      </c>
      <c r="C102" s="99" t="s">
        <v>187</v>
      </c>
      <c r="D102" s="160" t="s">
        <v>188</v>
      </c>
      <c r="E102" s="158" t="s">
        <v>53</v>
      </c>
      <c r="F102" s="137">
        <v>2</v>
      </c>
      <c r="G102" s="103">
        <v>2609.71</v>
      </c>
      <c r="H102" s="104">
        <f t="shared" ref="H102:H105" si="15">G102*1.25</f>
        <v>3262.1374999999998</v>
      </c>
      <c r="I102" s="104">
        <f t="shared" si="12"/>
        <v>5219.4160000000002</v>
      </c>
      <c r="J102" s="150">
        <f t="shared" si="13"/>
        <v>6524.27</v>
      </c>
      <c r="K102" s="151"/>
    </row>
    <row r="103" spans="1:11" s="72" customFormat="1">
      <c r="A103" s="97" t="s">
        <v>244</v>
      </c>
      <c r="B103" s="136" t="s">
        <v>186</v>
      </c>
      <c r="C103" s="99" t="s">
        <v>245</v>
      </c>
      <c r="D103" s="160" t="s">
        <v>191</v>
      </c>
      <c r="E103" s="158" t="s">
        <v>53</v>
      </c>
      <c r="F103" s="137">
        <v>1</v>
      </c>
      <c r="G103" s="103">
        <v>3181.92</v>
      </c>
      <c r="H103" s="104">
        <f t="shared" si="15"/>
        <v>3977.4</v>
      </c>
      <c r="I103" s="104">
        <f t="shared" si="12"/>
        <v>3181.92</v>
      </c>
      <c r="J103" s="150">
        <f t="shared" si="13"/>
        <v>3977.4</v>
      </c>
      <c r="K103" s="151"/>
    </row>
    <row r="104" spans="1:11" s="72" customFormat="1">
      <c r="A104" s="97" t="s">
        <v>246</v>
      </c>
      <c r="B104" s="136" t="s">
        <v>186</v>
      </c>
      <c r="C104" s="99" t="s">
        <v>187</v>
      </c>
      <c r="D104" s="160" t="s">
        <v>188</v>
      </c>
      <c r="E104" s="158" t="s">
        <v>53</v>
      </c>
      <c r="F104" s="137">
        <v>1</v>
      </c>
      <c r="G104" s="103">
        <v>2609.71</v>
      </c>
      <c r="H104" s="104">
        <f t="shared" si="15"/>
        <v>3262.1374999999998</v>
      </c>
      <c r="I104" s="104">
        <f t="shared" si="12"/>
        <v>2609.7040000000002</v>
      </c>
      <c r="J104" s="150">
        <f t="shared" si="13"/>
        <v>3262.13</v>
      </c>
      <c r="K104" s="151"/>
    </row>
    <row r="105" spans="1:11" s="72" customFormat="1">
      <c r="A105" s="97" t="s">
        <v>247</v>
      </c>
      <c r="B105" s="158" t="s">
        <v>20</v>
      </c>
      <c r="C105" s="99" t="s">
        <v>248</v>
      </c>
      <c r="D105" s="161" t="s">
        <v>249</v>
      </c>
      <c r="E105" s="158" t="s">
        <v>53</v>
      </c>
      <c r="F105" s="137">
        <v>2</v>
      </c>
      <c r="G105" s="103">
        <v>3627.29</v>
      </c>
      <c r="H105" s="104">
        <f t="shared" si="15"/>
        <v>4534.1125000000002</v>
      </c>
      <c r="I105" s="104">
        <f t="shared" si="12"/>
        <v>7254.576</v>
      </c>
      <c r="J105" s="150">
        <f t="shared" si="13"/>
        <v>9068.2199999999993</v>
      </c>
      <c r="K105" s="151"/>
    </row>
    <row r="106" spans="1:11" s="72" customFormat="1">
      <c r="A106" s="97" t="s">
        <v>250</v>
      </c>
      <c r="B106" s="158" t="s">
        <v>26</v>
      </c>
      <c r="C106" s="99" t="s">
        <v>193</v>
      </c>
      <c r="D106" s="159" t="s">
        <v>194</v>
      </c>
      <c r="E106" s="158" t="s">
        <v>53</v>
      </c>
      <c r="F106" s="137">
        <v>4</v>
      </c>
      <c r="G106" s="112">
        <f t="shared" ref="G106:G132" si="16">H106/1.25</f>
        <v>184.64000000000001</v>
      </c>
      <c r="H106" s="104">
        <f>'PREÇOS DE MERCADO'!G52</f>
        <v>230.8</v>
      </c>
      <c r="I106" s="104">
        <f t="shared" si="12"/>
        <v>738.56000000000006</v>
      </c>
      <c r="J106" s="152">
        <f t="shared" si="13"/>
        <v>923.2</v>
      </c>
      <c r="K106" s="151"/>
    </row>
    <row r="107" spans="1:11" s="72" customFormat="1" ht="25.5">
      <c r="A107" s="97" t="s">
        <v>251</v>
      </c>
      <c r="B107" s="136" t="s">
        <v>59</v>
      </c>
      <c r="C107" s="99" t="s">
        <v>115</v>
      </c>
      <c r="D107" s="160" t="s">
        <v>197</v>
      </c>
      <c r="E107" s="158" t="s">
        <v>53</v>
      </c>
      <c r="F107" s="137">
        <v>6</v>
      </c>
      <c r="G107" s="103">
        <v>510.17</v>
      </c>
      <c r="H107" s="104">
        <f>G107*1.25</f>
        <v>637.71249999999998</v>
      </c>
      <c r="I107" s="104">
        <f t="shared" si="12"/>
        <v>3061.0160000000001</v>
      </c>
      <c r="J107" s="150">
        <f t="shared" si="13"/>
        <v>3826.27</v>
      </c>
      <c r="K107" s="151"/>
    </row>
    <row r="108" spans="1:11" s="72" customFormat="1">
      <c r="A108" s="97" t="s">
        <v>252</v>
      </c>
      <c r="B108" s="158" t="s">
        <v>26</v>
      </c>
      <c r="C108" s="99" t="s">
        <v>199</v>
      </c>
      <c r="D108" s="159" t="s">
        <v>200</v>
      </c>
      <c r="E108" s="158" t="s">
        <v>53</v>
      </c>
      <c r="F108" s="137">
        <v>6</v>
      </c>
      <c r="G108" s="112">
        <f t="shared" si="16"/>
        <v>471.2</v>
      </c>
      <c r="H108" s="104">
        <f>'PREÇOS DE MERCADO'!G53</f>
        <v>589</v>
      </c>
      <c r="I108" s="104">
        <f t="shared" si="12"/>
        <v>2827.2</v>
      </c>
      <c r="J108" s="152">
        <f t="shared" si="13"/>
        <v>3534</v>
      </c>
      <c r="K108" s="151"/>
    </row>
    <row r="109" spans="1:11" s="72" customFormat="1" ht="25.5">
      <c r="A109" s="97" t="s">
        <v>253</v>
      </c>
      <c r="B109" s="136" t="s">
        <v>186</v>
      </c>
      <c r="C109" s="99" t="s">
        <v>202</v>
      </c>
      <c r="D109" s="160" t="s">
        <v>203</v>
      </c>
      <c r="E109" s="158" t="s">
        <v>68</v>
      </c>
      <c r="F109" s="137">
        <v>30</v>
      </c>
      <c r="G109" s="103">
        <v>3.86</v>
      </c>
      <c r="H109" s="104">
        <f>G109*1.25</f>
        <v>4.8250000000000002</v>
      </c>
      <c r="I109" s="104">
        <f t="shared" si="12"/>
        <v>115.8</v>
      </c>
      <c r="J109" s="150">
        <f t="shared" si="13"/>
        <v>144.75</v>
      </c>
      <c r="K109" s="151"/>
    </row>
    <row r="110" spans="1:11" s="72" customFormat="1">
      <c r="A110" s="97" t="s">
        <v>254</v>
      </c>
      <c r="B110" s="158" t="s">
        <v>26</v>
      </c>
      <c r="C110" s="99" t="s">
        <v>255</v>
      </c>
      <c r="D110" s="159" t="s">
        <v>256</v>
      </c>
      <c r="E110" s="158" t="s">
        <v>53</v>
      </c>
      <c r="F110" s="137">
        <v>2</v>
      </c>
      <c r="G110" s="112">
        <f t="shared" si="16"/>
        <v>78.08</v>
      </c>
      <c r="H110" s="104">
        <f>'PREÇOS DE MERCADO'!G55</f>
        <v>97.6</v>
      </c>
      <c r="I110" s="104">
        <f t="shared" si="12"/>
        <v>156.16</v>
      </c>
      <c r="J110" s="152">
        <f t="shared" si="13"/>
        <v>195.2</v>
      </c>
      <c r="K110" s="151"/>
    </row>
    <row r="111" spans="1:11" s="72" customFormat="1">
      <c r="A111" s="97" t="s">
        <v>257</v>
      </c>
      <c r="B111" s="158" t="s">
        <v>26</v>
      </c>
      <c r="C111" s="99" t="s">
        <v>258</v>
      </c>
      <c r="D111" s="159" t="s">
        <v>259</v>
      </c>
      <c r="E111" s="158" t="s">
        <v>53</v>
      </c>
      <c r="F111" s="137">
        <v>2</v>
      </c>
      <c r="G111" s="112">
        <f t="shared" si="16"/>
        <v>56.544000000000004</v>
      </c>
      <c r="H111" s="104">
        <f>'PREÇOS DE MERCADO'!G56</f>
        <v>70.680000000000007</v>
      </c>
      <c r="I111" s="104">
        <f t="shared" si="12"/>
        <v>113.08800000000001</v>
      </c>
      <c r="J111" s="152">
        <f t="shared" si="13"/>
        <v>141.36000000000001</v>
      </c>
      <c r="K111" s="151"/>
    </row>
    <row r="112" spans="1:11" s="72" customFormat="1">
      <c r="A112" s="97" t="s">
        <v>260</v>
      </c>
      <c r="B112" s="158" t="s">
        <v>26</v>
      </c>
      <c r="C112" s="99" t="s">
        <v>261</v>
      </c>
      <c r="D112" s="159" t="s">
        <v>262</v>
      </c>
      <c r="E112" s="158" t="s">
        <v>53</v>
      </c>
      <c r="F112" s="137">
        <v>6</v>
      </c>
      <c r="G112" s="112">
        <f t="shared" si="16"/>
        <v>942.4</v>
      </c>
      <c r="H112" s="104">
        <f>'PREÇOS DE MERCADO'!G57</f>
        <v>1178</v>
      </c>
      <c r="I112" s="104">
        <f t="shared" si="12"/>
        <v>5654.4</v>
      </c>
      <c r="J112" s="152">
        <f t="shared" si="13"/>
        <v>7068</v>
      </c>
      <c r="K112" s="151"/>
    </row>
    <row r="113" spans="1:11" s="72" customFormat="1" ht="25.5">
      <c r="A113" s="97" t="s">
        <v>263</v>
      </c>
      <c r="B113" s="158" t="s">
        <v>26</v>
      </c>
      <c r="C113" s="99" t="s">
        <v>264</v>
      </c>
      <c r="D113" s="161" t="s">
        <v>265</v>
      </c>
      <c r="E113" s="158" t="s">
        <v>53</v>
      </c>
      <c r="F113" s="137">
        <v>6</v>
      </c>
      <c r="G113" s="112">
        <f t="shared" si="16"/>
        <v>78.64</v>
      </c>
      <c r="H113" s="104">
        <f>'PREÇOS DE MERCADO'!G58</f>
        <v>98.3</v>
      </c>
      <c r="I113" s="104">
        <f t="shared" si="12"/>
        <v>471.84</v>
      </c>
      <c r="J113" s="152">
        <f t="shared" si="13"/>
        <v>589.79999999999995</v>
      </c>
      <c r="K113" s="151"/>
    </row>
    <row r="114" spans="1:11" s="72" customFormat="1">
      <c r="A114" s="97" t="s">
        <v>266</v>
      </c>
      <c r="B114" s="158" t="s">
        <v>26</v>
      </c>
      <c r="C114" s="99" t="s">
        <v>267</v>
      </c>
      <c r="D114" s="159" t="s">
        <v>268</v>
      </c>
      <c r="E114" s="158" t="s">
        <v>53</v>
      </c>
      <c r="F114" s="137">
        <v>3</v>
      </c>
      <c r="G114" s="112">
        <f t="shared" si="16"/>
        <v>76.960000000000008</v>
      </c>
      <c r="H114" s="104">
        <f>'PREÇOS DE MERCADO'!G59</f>
        <v>96.2</v>
      </c>
      <c r="I114" s="104">
        <f t="shared" si="12"/>
        <v>230.88000000000002</v>
      </c>
      <c r="J114" s="152">
        <f t="shared" si="13"/>
        <v>288.60000000000002</v>
      </c>
      <c r="K114" s="151"/>
    </row>
    <row r="115" spans="1:11" s="72" customFormat="1">
      <c r="A115" s="97" t="s">
        <v>269</v>
      </c>
      <c r="B115" s="158" t="s">
        <v>26</v>
      </c>
      <c r="C115" s="99" t="s">
        <v>270</v>
      </c>
      <c r="D115" s="159" t="s">
        <v>271</v>
      </c>
      <c r="E115" s="158" t="s">
        <v>53</v>
      </c>
      <c r="F115" s="137">
        <v>3</v>
      </c>
      <c r="G115" s="112">
        <f t="shared" si="16"/>
        <v>111.2</v>
      </c>
      <c r="H115" s="104">
        <f>'PREÇOS DE MERCADO'!G60</f>
        <v>139</v>
      </c>
      <c r="I115" s="104">
        <f t="shared" si="12"/>
        <v>333.6</v>
      </c>
      <c r="J115" s="152">
        <f t="shared" si="13"/>
        <v>417</v>
      </c>
      <c r="K115" s="151"/>
    </row>
    <row r="116" spans="1:11" s="72" customFormat="1">
      <c r="A116" s="97" t="s">
        <v>272</v>
      </c>
      <c r="B116" s="158" t="s">
        <v>26</v>
      </c>
      <c r="C116" s="99" t="s">
        <v>273</v>
      </c>
      <c r="D116" s="159" t="s">
        <v>274</v>
      </c>
      <c r="E116" s="158" t="s">
        <v>53</v>
      </c>
      <c r="F116" s="137">
        <v>6</v>
      </c>
      <c r="G116" s="112">
        <f t="shared" si="16"/>
        <v>78.320000000000007</v>
      </c>
      <c r="H116" s="104">
        <f>'PREÇOS DE MERCADO'!G61</f>
        <v>97.9</v>
      </c>
      <c r="I116" s="104">
        <f t="shared" si="12"/>
        <v>469.91999999999996</v>
      </c>
      <c r="J116" s="152">
        <f t="shared" si="13"/>
        <v>587.4</v>
      </c>
      <c r="K116" s="151"/>
    </row>
    <row r="117" spans="1:11" s="72" customFormat="1">
      <c r="A117" s="97" t="s">
        <v>275</v>
      </c>
      <c r="B117" s="158" t="s">
        <v>26</v>
      </c>
      <c r="C117" s="99" t="s">
        <v>276</v>
      </c>
      <c r="D117" s="159" t="s">
        <v>277</v>
      </c>
      <c r="E117" s="158" t="s">
        <v>53</v>
      </c>
      <c r="F117" s="137">
        <v>9</v>
      </c>
      <c r="G117" s="112">
        <f t="shared" si="16"/>
        <v>45.760000000000005</v>
      </c>
      <c r="H117" s="104">
        <f>'PREÇOS DE MERCADO'!G62</f>
        <v>57.2</v>
      </c>
      <c r="I117" s="104">
        <f t="shared" si="12"/>
        <v>411.84</v>
      </c>
      <c r="J117" s="152">
        <f t="shared" si="13"/>
        <v>514.79999999999995</v>
      </c>
      <c r="K117" s="151"/>
    </row>
    <row r="118" spans="1:11" s="72" customFormat="1">
      <c r="A118" s="97" t="s">
        <v>278</v>
      </c>
      <c r="B118" s="158" t="s">
        <v>26</v>
      </c>
      <c r="C118" s="99" t="s">
        <v>279</v>
      </c>
      <c r="D118" s="159" t="s">
        <v>280</v>
      </c>
      <c r="E118" s="158" t="s">
        <v>53</v>
      </c>
      <c r="F118" s="137">
        <v>6</v>
      </c>
      <c r="G118" s="112">
        <f t="shared" si="16"/>
        <v>151.92000000000002</v>
      </c>
      <c r="H118" s="104">
        <f>'PREÇOS DE MERCADO'!G63</f>
        <v>189.9</v>
      </c>
      <c r="I118" s="104">
        <f t="shared" si="12"/>
        <v>911.5200000000001</v>
      </c>
      <c r="J118" s="152">
        <f t="shared" si="13"/>
        <v>1139.4000000000001</v>
      </c>
      <c r="K118" s="151"/>
    </row>
    <row r="119" spans="1:11" s="72" customFormat="1">
      <c r="A119" s="97" t="s">
        <v>281</v>
      </c>
      <c r="B119" s="158" t="s">
        <v>26</v>
      </c>
      <c r="C119" s="99" t="s">
        <v>282</v>
      </c>
      <c r="D119" s="159" t="s">
        <v>283</v>
      </c>
      <c r="E119" s="158" t="s">
        <v>53</v>
      </c>
      <c r="F119" s="137">
        <v>3</v>
      </c>
      <c r="G119" s="112">
        <f t="shared" si="16"/>
        <v>179.05599999999998</v>
      </c>
      <c r="H119" s="104">
        <f>'PREÇOS DE MERCADO'!G64</f>
        <v>223.82</v>
      </c>
      <c r="I119" s="104">
        <f t="shared" si="12"/>
        <v>537.16800000000001</v>
      </c>
      <c r="J119" s="152">
        <f t="shared" si="13"/>
        <v>671.46</v>
      </c>
      <c r="K119" s="151"/>
    </row>
    <row r="120" spans="1:11" s="72" customFormat="1">
      <c r="A120" s="97" t="s">
        <v>284</v>
      </c>
      <c r="B120" s="158" t="s">
        <v>26</v>
      </c>
      <c r="C120" s="99" t="s">
        <v>285</v>
      </c>
      <c r="D120" s="159" t="s">
        <v>286</v>
      </c>
      <c r="E120" s="158" t="s">
        <v>53</v>
      </c>
      <c r="F120" s="137">
        <v>3</v>
      </c>
      <c r="G120" s="112">
        <f t="shared" si="16"/>
        <v>207.32800000000003</v>
      </c>
      <c r="H120" s="104">
        <f>'PREÇOS DE MERCADO'!G65</f>
        <v>259.16000000000003</v>
      </c>
      <c r="I120" s="104">
        <f t="shared" si="12"/>
        <v>621.98400000000004</v>
      </c>
      <c r="J120" s="152">
        <f t="shared" si="13"/>
        <v>777.48</v>
      </c>
      <c r="K120" s="151"/>
    </row>
    <row r="121" spans="1:11" s="72" customFormat="1">
      <c r="A121" s="97" t="s">
        <v>287</v>
      </c>
      <c r="B121" s="158" t="s">
        <v>26</v>
      </c>
      <c r="C121" s="99" t="s">
        <v>288</v>
      </c>
      <c r="D121" s="161" t="s">
        <v>289</v>
      </c>
      <c r="E121" s="158" t="s">
        <v>53</v>
      </c>
      <c r="F121" s="137">
        <v>6</v>
      </c>
      <c r="G121" s="112">
        <f t="shared" si="16"/>
        <v>77.28</v>
      </c>
      <c r="H121" s="104">
        <f>'PREÇOS DE MERCADO'!G66</f>
        <v>96.6</v>
      </c>
      <c r="I121" s="104">
        <f t="shared" si="12"/>
        <v>463.68</v>
      </c>
      <c r="J121" s="152">
        <f t="shared" si="13"/>
        <v>579.6</v>
      </c>
      <c r="K121" s="151"/>
    </row>
    <row r="122" spans="1:11" s="72" customFormat="1">
      <c r="A122" s="97" t="s">
        <v>290</v>
      </c>
      <c r="B122" s="158" t="s">
        <v>26</v>
      </c>
      <c r="C122" s="99" t="s">
        <v>291</v>
      </c>
      <c r="D122" s="159" t="s">
        <v>292</v>
      </c>
      <c r="E122" s="158" t="s">
        <v>53</v>
      </c>
      <c r="F122" s="137">
        <v>9</v>
      </c>
      <c r="G122" s="112">
        <f t="shared" si="16"/>
        <v>66.56</v>
      </c>
      <c r="H122" s="104">
        <f>'PREÇOS DE MERCADO'!G67</f>
        <v>83.2</v>
      </c>
      <c r="I122" s="104">
        <f t="shared" si="12"/>
        <v>599.04</v>
      </c>
      <c r="J122" s="152">
        <f t="shared" si="13"/>
        <v>748.8</v>
      </c>
      <c r="K122" s="151"/>
    </row>
    <row r="123" spans="1:11" s="72" customFormat="1">
      <c r="A123" s="97" t="s">
        <v>293</v>
      </c>
      <c r="B123" s="158" t="s">
        <v>26</v>
      </c>
      <c r="C123" s="99" t="s">
        <v>294</v>
      </c>
      <c r="D123" s="159" t="s">
        <v>295</v>
      </c>
      <c r="E123" s="158" t="s">
        <v>53</v>
      </c>
      <c r="F123" s="137">
        <v>9</v>
      </c>
      <c r="G123" s="112">
        <f t="shared" si="16"/>
        <v>73.503999999999991</v>
      </c>
      <c r="H123" s="104">
        <f>'PREÇOS DE MERCADO'!G68</f>
        <v>91.88</v>
      </c>
      <c r="I123" s="104">
        <f t="shared" si="12"/>
        <v>661.53599999999994</v>
      </c>
      <c r="J123" s="152">
        <f t="shared" si="13"/>
        <v>826.92</v>
      </c>
      <c r="K123" s="151"/>
    </row>
    <row r="124" spans="1:11" s="72" customFormat="1">
      <c r="A124" s="97" t="s">
        <v>296</v>
      </c>
      <c r="B124" s="158" t="s">
        <v>26</v>
      </c>
      <c r="C124" s="99" t="s">
        <v>297</v>
      </c>
      <c r="D124" s="159" t="s">
        <v>298</v>
      </c>
      <c r="E124" s="158" t="s">
        <v>53</v>
      </c>
      <c r="F124" s="137">
        <v>9</v>
      </c>
      <c r="G124" s="112">
        <f t="shared" si="16"/>
        <v>42.408000000000001</v>
      </c>
      <c r="H124" s="104">
        <f>'PREÇOS DE MERCADO'!G69</f>
        <v>53.01</v>
      </c>
      <c r="I124" s="104">
        <f t="shared" si="12"/>
        <v>381.67199999999997</v>
      </c>
      <c r="J124" s="152">
        <f t="shared" si="13"/>
        <v>477.09</v>
      </c>
      <c r="K124" s="151"/>
    </row>
    <row r="125" spans="1:11" s="72" customFormat="1">
      <c r="A125" s="97" t="s">
        <v>299</v>
      </c>
      <c r="B125" s="158" t="s">
        <v>26</v>
      </c>
      <c r="C125" s="99" t="s">
        <v>300</v>
      </c>
      <c r="D125" s="159" t="s">
        <v>301</v>
      </c>
      <c r="E125" s="158" t="s">
        <v>53</v>
      </c>
      <c r="F125" s="137">
        <v>3</v>
      </c>
      <c r="G125" s="112">
        <f t="shared" si="16"/>
        <v>1790.56</v>
      </c>
      <c r="H125" s="104">
        <f>'PREÇOS DE MERCADO'!G70</f>
        <v>2238.1999999999998</v>
      </c>
      <c r="I125" s="104">
        <f t="shared" si="12"/>
        <v>5371.68</v>
      </c>
      <c r="J125" s="152">
        <f t="shared" si="13"/>
        <v>6714.6</v>
      </c>
      <c r="K125" s="151"/>
    </row>
    <row r="126" spans="1:11" s="72" customFormat="1">
      <c r="A126" s="97" t="s">
        <v>302</v>
      </c>
      <c r="B126" s="158" t="s">
        <v>26</v>
      </c>
      <c r="C126" s="99" t="s">
        <v>303</v>
      </c>
      <c r="D126" s="159" t="s">
        <v>304</v>
      </c>
      <c r="E126" s="158" t="s">
        <v>53</v>
      </c>
      <c r="F126" s="137">
        <v>3</v>
      </c>
      <c r="G126" s="112">
        <f t="shared" si="16"/>
        <v>54.320000000000007</v>
      </c>
      <c r="H126" s="104">
        <f>'PREÇOS DE MERCADO'!G71</f>
        <v>67.900000000000006</v>
      </c>
      <c r="I126" s="104">
        <f t="shared" si="12"/>
        <v>162.95999999999998</v>
      </c>
      <c r="J126" s="152">
        <f t="shared" si="13"/>
        <v>203.7</v>
      </c>
      <c r="K126" s="151"/>
    </row>
    <row r="127" spans="1:11" s="72" customFormat="1">
      <c r="A127" s="97" t="s">
        <v>305</v>
      </c>
      <c r="B127" s="158" t="s">
        <v>26</v>
      </c>
      <c r="C127" s="99" t="s">
        <v>306</v>
      </c>
      <c r="D127" s="159" t="s">
        <v>307</v>
      </c>
      <c r="E127" s="158" t="s">
        <v>53</v>
      </c>
      <c r="F127" s="137">
        <v>3</v>
      </c>
      <c r="G127" s="112">
        <f t="shared" si="16"/>
        <v>18.847999999999999</v>
      </c>
      <c r="H127" s="104">
        <f>'PREÇOS DE MERCADO'!G72</f>
        <v>23.56</v>
      </c>
      <c r="I127" s="104">
        <f t="shared" si="12"/>
        <v>56.544000000000004</v>
      </c>
      <c r="J127" s="152">
        <f t="shared" si="13"/>
        <v>70.680000000000007</v>
      </c>
      <c r="K127" s="151"/>
    </row>
    <row r="128" spans="1:11" s="72" customFormat="1">
      <c r="A128" s="97" t="s">
        <v>308</v>
      </c>
      <c r="B128" s="158" t="s">
        <v>26</v>
      </c>
      <c r="C128" s="99" t="s">
        <v>309</v>
      </c>
      <c r="D128" s="159" t="s">
        <v>310</v>
      </c>
      <c r="E128" s="158" t="s">
        <v>53</v>
      </c>
      <c r="F128" s="137">
        <v>3</v>
      </c>
      <c r="G128" s="112">
        <f t="shared" si="16"/>
        <v>753.92</v>
      </c>
      <c r="H128" s="104">
        <f>'PREÇOS DE MERCADO'!G73</f>
        <v>942.4</v>
      </c>
      <c r="I128" s="104">
        <f t="shared" si="12"/>
        <v>2261.7599999999998</v>
      </c>
      <c r="J128" s="152">
        <f t="shared" si="13"/>
        <v>2827.2</v>
      </c>
      <c r="K128" s="151"/>
    </row>
    <row r="129" spans="1:11" s="72" customFormat="1">
      <c r="A129" s="97" t="s">
        <v>311</v>
      </c>
      <c r="B129" s="158" t="s">
        <v>26</v>
      </c>
      <c r="C129" s="99" t="s">
        <v>312</v>
      </c>
      <c r="D129" s="159" t="s">
        <v>313</v>
      </c>
      <c r="E129" s="158" t="s">
        <v>53</v>
      </c>
      <c r="F129" s="137">
        <v>9</v>
      </c>
      <c r="G129" s="112">
        <f t="shared" si="16"/>
        <v>27.2</v>
      </c>
      <c r="H129" s="104">
        <f>'PREÇOS DE MERCADO'!G74</f>
        <v>34</v>
      </c>
      <c r="I129" s="104">
        <f t="shared" si="12"/>
        <v>244.8</v>
      </c>
      <c r="J129" s="152">
        <f t="shared" si="13"/>
        <v>306</v>
      </c>
      <c r="K129" s="151"/>
    </row>
    <row r="130" spans="1:11" s="72" customFormat="1">
      <c r="A130" s="97" t="s">
        <v>314</v>
      </c>
      <c r="B130" s="158" t="s">
        <v>26</v>
      </c>
      <c r="C130" s="99" t="s">
        <v>315</v>
      </c>
      <c r="D130" s="159" t="s">
        <v>316</v>
      </c>
      <c r="E130" s="158" t="s">
        <v>53</v>
      </c>
      <c r="F130" s="137">
        <v>2</v>
      </c>
      <c r="G130" s="112">
        <f t="shared" si="16"/>
        <v>30.080000000000002</v>
      </c>
      <c r="H130" s="104">
        <f>'PREÇOS DE MERCADO'!G75</f>
        <v>37.6</v>
      </c>
      <c r="I130" s="104">
        <f t="shared" si="12"/>
        <v>60.160000000000004</v>
      </c>
      <c r="J130" s="152">
        <f t="shared" si="13"/>
        <v>75.2</v>
      </c>
      <c r="K130" s="151"/>
    </row>
    <row r="131" spans="1:11" s="72" customFormat="1">
      <c r="A131" s="97" t="s">
        <v>317</v>
      </c>
      <c r="B131" s="158" t="s">
        <v>26</v>
      </c>
      <c r="C131" s="99" t="s">
        <v>318</v>
      </c>
      <c r="D131" s="159" t="s">
        <v>319</v>
      </c>
      <c r="E131" s="158" t="s">
        <v>53</v>
      </c>
      <c r="F131" s="137">
        <v>9</v>
      </c>
      <c r="G131" s="112">
        <f t="shared" si="16"/>
        <v>77.28</v>
      </c>
      <c r="H131" s="104">
        <f>'PREÇOS DE MERCADO'!G76</f>
        <v>96.6</v>
      </c>
      <c r="I131" s="104">
        <f t="shared" si="12"/>
        <v>695.52</v>
      </c>
      <c r="J131" s="152">
        <f t="shared" si="13"/>
        <v>869.4</v>
      </c>
      <c r="K131" s="151"/>
    </row>
    <row r="132" spans="1:11" s="72" customFormat="1">
      <c r="A132" s="97" t="s">
        <v>320</v>
      </c>
      <c r="B132" s="158" t="s">
        <v>26</v>
      </c>
      <c r="C132" s="99" t="s">
        <v>321</v>
      </c>
      <c r="D132" s="159" t="s">
        <v>322</v>
      </c>
      <c r="E132" s="158" t="s">
        <v>53</v>
      </c>
      <c r="F132" s="137">
        <v>2</v>
      </c>
      <c r="G132" s="112">
        <f t="shared" si="16"/>
        <v>339.26400000000001</v>
      </c>
      <c r="H132" s="104">
        <f>'PREÇOS DE MERCADO'!G77</f>
        <v>424.08</v>
      </c>
      <c r="I132" s="104">
        <f t="shared" si="12"/>
        <v>678.52800000000002</v>
      </c>
      <c r="J132" s="152">
        <f t="shared" si="13"/>
        <v>848.16</v>
      </c>
      <c r="K132" s="151"/>
    </row>
    <row r="133" spans="1:11" s="72" customFormat="1" ht="51">
      <c r="A133" s="97" t="s">
        <v>323</v>
      </c>
      <c r="B133" s="158" t="s">
        <v>59</v>
      </c>
      <c r="C133" s="99" t="s">
        <v>324</v>
      </c>
      <c r="D133" s="160" t="s">
        <v>325</v>
      </c>
      <c r="E133" s="158" t="s">
        <v>53</v>
      </c>
      <c r="F133" s="137">
        <v>1</v>
      </c>
      <c r="G133" s="103">
        <v>11007.2</v>
      </c>
      <c r="H133" s="104">
        <f>G133*1.25</f>
        <v>13759</v>
      </c>
      <c r="I133" s="104">
        <f t="shared" si="12"/>
        <v>11007.2</v>
      </c>
      <c r="J133" s="150">
        <f t="shared" si="13"/>
        <v>13759</v>
      </c>
      <c r="K133" s="151"/>
    </row>
    <row r="134" spans="1:11" s="72" customFormat="1">
      <c r="A134" s="97" t="s">
        <v>326</v>
      </c>
      <c r="B134" s="158" t="s">
        <v>26</v>
      </c>
      <c r="C134" s="99" t="s">
        <v>327</v>
      </c>
      <c r="D134" s="161" t="s">
        <v>328</v>
      </c>
      <c r="E134" s="158" t="s">
        <v>53</v>
      </c>
      <c r="F134" s="137">
        <v>4</v>
      </c>
      <c r="G134" s="112">
        <f t="shared" ref="G134:G136" si="17">H134/1.25</f>
        <v>29.76</v>
      </c>
      <c r="H134" s="104">
        <f>'PREÇOS DE MERCADO'!G79</f>
        <v>37.200000000000003</v>
      </c>
      <c r="I134" s="104">
        <f t="shared" si="12"/>
        <v>119.04</v>
      </c>
      <c r="J134" s="152">
        <f t="shared" si="13"/>
        <v>148.80000000000001</v>
      </c>
      <c r="K134" s="151"/>
    </row>
    <row r="135" spans="1:11" s="72" customFormat="1">
      <c r="A135" s="97" t="s">
        <v>329</v>
      </c>
      <c r="B135" s="158" t="s">
        <v>26</v>
      </c>
      <c r="C135" s="99" t="s">
        <v>330</v>
      </c>
      <c r="D135" s="159" t="s">
        <v>331</v>
      </c>
      <c r="E135" s="158" t="s">
        <v>68</v>
      </c>
      <c r="F135" s="137">
        <v>240</v>
      </c>
      <c r="G135" s="112">
        <f t="shared" si="17"/>
        <v>72.944000000000003</v>
      </c>
      <c r="H135" s="104">
        <f>'PREÇOS DE MERCADO'!G80</f>
        <v>91.18</v>
      </c>
      <c r="I135" s="104">
        <f t="shared" si="12"/>
        <v>17506.560000000001</v>
      </c>
      <c r="J135" s="152">
        <f t="shared" si="13"/>
        <v>21883.200000000001</v>
      </c>
      <c r="K135" s="151"/>
    </row>
    <row r="136" spans="1:11" s="72" customFormat="1">
      <c r="A136" s="97" t="s">
        <v>332</v>
      </c>
      <c r="B136" s="158" t="s">
        <v>26</v>
      </c>
      <c r="C136" s="99" t="s">
        <v>333</v>
      </c>
      <c r="D136" s="159" t="s">
        <v>334</v>
      </c>
      <c r="E136" s="158" t="s">
        <v>68</v>
      </c>
      <c r="F136" s="137">
        <v>80</v>
      </c>
      <c r="G136" s="112">
        <f t="shared" si="17"/>
        <v>27.616000000000003</v>
      </c>
      <c r="H136" s="104">
        <f>'PREÇOS DE MERCADO'!G81</f>
        <v>34.520000000000003</v>
      </c>
      <c r="I136" s="104">
        <f t="shared" si="12"/>
        <v>2209.2799999999997</v>
      </c>
      <c r="J136" s="152">
        <f t="shared" si="13"/>
        <v>2761.6</v>
      </c>
      <c r="K136" s="151"/>
    </row>
    <row r="137" spans="1:11" s="72" customFormat="1" ht="25.5">
      <c r="A137" s="128" t="s">
        <v>335</v>
      </c>
      <c r="B137" s="129"/>
      <c r="C137" s="130"/>
      <c r="D137" s="131" t="s">
        <v>336</v>
      </c>
      <c r="E137" s="132"/>
      <c r="F137" s="133"/>
      <c r="G137" s="134"/>
      <c r="H137" s="135"/>
      <c r="I137" s="156">
        <f>SUBTOTAL(9,I138:I164)</f>
        <v>24530.624000000003</v>
      </c>
      <c r="J137" s="157">
        <f>SUBTOTAL(9,J138:J164)</f>
        <v>30663.279999999995</v>
      </c>
    </row>
    <row r="138" spans="1:11" s="72" customFormat="1">
      <c r="A138" s="97" t="s">
        <v>337</v>
      </c>
      <c r="B138" s="136" t="s">
        <v>26</v>
      </c>
      <c r="C138" s="99" t="s">
        <v>129</v>
      </c>
      <c r="D138" s="160" t="s">
        <v>130</v>
      </c>
      <c r="E138" s="136" t="s">
        <v>53</v>
      </c>
      <c r="F138" s="137">
        <v>12</v>
      </c>
      <c r="G138" s="112">
        <f t="shared" ref="G138:G142" si="18">H138/1.25</f>
        <v>109.75999999999999</v>
      </c>
      <c r="H138" s="104">
        <f>'PREÇOS DE MERCADO'!G22</f>
        <v>137.19999999999999</v>
      </c>
      <c r="I138" s="104">
        <f t="shared" ref="I138:I164" si="19">J138/1.25</f>
        <v>1317.1200000000001</v>
      </c>
      <c r="J138" s="152">
        <f t="shared" ref="J138:J164" si="20">TRUNC(F138*H138,2)</f>
        <v>1646.4</v>
      </c>
      <c r="K138" s="151"/>
    </row>
    <row r="139" spans="1:11" s="72" customFormat="1" ht="25.5">
      <c r="A139" s="97" t="s">
        <v>338</v>
      </c>
      <c r="B139" s="136" t="s">
        <v>22</v>
      </c>
      <c r="C139" s="99" t="s">
        <v>339</v>
      </c>
      <c r="D139" s="160" t="s">
        <v>133</v>
      </c>
      <c r="E139" s="136" t="s">
        <v>53</v>
      </c>
      <c r="F139" s="137">
        <v>2</v>
      </c>
      <c r="G139" s="103">
        <v>12.02</v>
      </c>
      <c r="H139" s="104">
        <f>G139*1.25</f>
        <v>15.024999999999999</v>
      </c>
      <c r="I139" s="104">
        <f t="shared" si="19"/>
        <v>24.04</v>
      </c>
      <c r="J139" s="150">
        <f t="shared" si="20"/>
        <v>30.05</v>
      </c>
      <c r="K139" s="151"/>
    </row>
    <row r="140" spans="1:11" s="72" customFormat="1">
      <c r="A140" s="97" t="s">
        <v>340</v>
      </c>
      <c r="B140" s="136" t="s">
        <v>26</v>
      </c>
      <c r="C140" s="99" t="s">
        <v>138</v>
      </c>
      <c r="D140" s="160" t="s">
        <v>139</v>
      </c>
      <c r="E140" s="136" t="s">
        <v>53</v>
      </c>
      <c r="F140" s="137">
        <v>6</v>
      </c>
      <c r="G140" s="112">
        <f t="shared" si="18"/>
        <v>42.4</v>
      </c>
      <c r="H140" s="104">
        <f>'PREÇOS DE MERCADO'!G24</f>
        <v>53</v>
      </c>
      <c r="I140" s="104">
        <f t="shared" si="19"/>
        <v>254.4</v>
      </c>
      <c r="J140" s="152">
        <f t="shared" si="20"/>
        <v>318</v>
      </c>
      <c r="K140" s="151"/>
    </row>
    <row r="141" spans="1:11" s="72" customFormat="1">
      <c r="A141" s="97" t="s">
        <v>341</v>
      </c>
      <c r="B141" s="136" t="s">
        <v>26</v>
      </c>
      <c r="C141" s="99" t="s">
        <v>141</v>
      </c>
      <c r="D141" s="160" t="s">
        <v>142</v>
      </c>
      <c r="E141" s="136" t="s">
        <v>53</v>
      </c>
      <c r="F141" s="137">
        <v>8</v>
      </c>
      <c r="G141" s="112">
        <f t="shared" si="18"/>
        <v>4</v>
      </c>
      <c r="H141" s="104">
        <f>'PREÇOS DE MERCADO'!G25</f>
        <v>5</v>
      </c>
      <c r="I141" s="104">
        <f t="shared" si="19"/>
        <v>32</v>
      </c>
      <c r="J141" s="152">
        <f t="shared" si="20"/>
        <v>40</v>
      </c>
      <c r="K141" s="151"/>
    </row>
    <row r="142" spans="1:11" s="72" customFormat="1">
      <c r="A142" s="97" t="s">
        <v>342</v>
      </c>
      <c r="B142" s="136" t="s">
        <v>26</v>
      </c>
      <c r="C142" s="99" t="s">
        <v>343</v>
      </c>
      <c r="D142" s="160" t="s">
        <v>344</v>
      </c>
      <c r="E142" s="136" t="s">
        <v>53</v>
      </c>
      <c r="F142" s="137">
        <v>2</v>
      </c>
      <c r="G142" s="112">
        <f t="shared" si="18"/>
        <v>4</v>
      </c>
      <c r="H142" s="104">
        <f>'PREÇOS DE MERCADO'!G26</f>
        <v>5</v>
      </c>
      <c r="I142" s="104">
        <f t="shared" si="19"/>
        <v>8</v>
      </c>
      <c r="J142" s="152">
        <f t="shared" si="20"/>
        <v>10</v>
      </c>
      <c r="K142" s="151"/>
    </row>
    <row r="143" spans="1:11" s="72" customFormat="1">
      <c r="A143" s="97" t="s">
        <v>345</v>
      </c>
      <c r="B143" s="136" t="s">
        <v>20</v>
      </c>
      <c r="C143" s="99" t="s">
        <v>147</v>
      </c>
      <c r="D143" s="160" t="s">
        <v>148</v>
      </c>
      <c r="E143" s="136" t="s">
        <v>68</v>
      </c>
      <c r="F143" s="137">
        <v>20</v>
      </c>
      <c r="G143" s="103">
        <v>23.58</v>
      </c>
      <c r="H143" s="104">
        <f>G143*1.25</f>
        <v>29.474999999999998</v>
      </c>
      <c r="I143" s="104">
        <f t="shared" si="19"/>
        <v>471.6</v>
      </c>
      <c r="J143" s="150">
        <f t="shared" si="20"/>
        <v>589.5</v>
      </c>
      <c r="K143" s="151"/>
    </row>
    <row r="144" spans="1:11" s="72" customFormat="1" ht="25.5">
      <c r="A144" s="97" t="s">
        <v>346</v>
      </c>
      <c r="B144" s="136" t="s">
        <v>26</v>
      </c>
      <c r="C144" s="99" t="s">
        <v>150</v>
      </c>
      <c r="D144" s="160" t="s">
        <v>151</v>
      </c>
      <c r="E144" s="136" t="s">
        <v>68</v>
      </c>
      <c r="F144" s="137">
        <v>119</v>
      </c>
      <c r="G144" s="112">
        <f t="shared" ref="G144:G158" si="21">H144/1.25</f>
        <v>45.231999999999999</v>
      </c>
      <c r="H144" s="104">
        <f>'PREÇOS DE MERCADO'!G29</f>
        <v>56.54</v>
      </c>
      <c r="I144" s="104">
        <f t="shared" si="19"/>
        <v>5382.6080000000002</v>
      </c>
      <c r="J144" s="152">
        <f t="shared" si="20"/>
        <v>6728.26</v>
      </c>
      <c r="K144" s="151"/>
    </row>
    <row r="145" spans="1:11" s="72" customFormat="1">
      <c r="A145" s="97" t="s">
        <v>347</v>
      </c>
      <c r="B145" s="136" t="s">
        <v>26</v>
      </c>
      <c r="C145" s="99" t="s">
        <v>153</v>
      </c>
      <c r="D145" s="160" t="s">
        <v>154</v>
      </c>
      <c r="E145" s="136" t="s">
        <v>53</v>
      </c>
      <c r="F145" s="137">
        <v>1</v>
      </c>
      <c r="G145" s="112">
        <f t="shared" si="21"/>
        <v>54.239999999999995</v>
      </c>
      <c r="H145" s="104">
        <f>'PREÇOS DE MERCADO'!G30</f>
        <v>67.8</v>
      </c>
      <c r="I145" s="104">
        <f t="shared" si="19"/>
        <v>54.239999999999995</v>
      </c>
      <c r="J145" s="152">
        <f t="shared" si="20"/>
        <v>67.8</v>
      </c>
      <c r="K145" s="151"/>
    </row>
    <row r="146" spans="1:11" s="72" customFormat="1">
      <c r="A146" s="97" t="s">
        <v>348</v>
      </c>
      <c r="B146" s="136" t="s">
        <v>26</v>
      </c>
      <c r="C146" s="99" t="s">
        <v>156</v>
      </c>
      <c r="D146" s="160" t="s">
        <v>157</v>
      </c>
      <c r="E146" s="136" t="s">
        <v>53</v>
      </c>
      <c r="F146" s="137">
        <v>2</v>
      </c>
      <c r="G146" s="112">
        <f t="shared" si="21"/>
        <v>65.967999999999989</v>
      </c>
      <c r="H146" s="104">
        <f>'PREÇOS DE MERCADO'!G31</f>
        <v>82.46</v>
      </c>
      <c r="I146" s="104">
        <f t="shared" si="19"/>
        <v>131.93599999999998</v>
      </c>
      <c r="J146" s="152">
        <f t="shared" si="20"/>
        <v>164.92</v>
      </c>
      <c r="K146" s="151"/>
    </row>
    <row r="147" spans="1:11" s="72" customFormat="1">
      <c r="A147" s="97" t="s">
        <v>349</v>
      </c>
      <c r="B147" s="136" t="s">
        <v>26</v>
      </c>
      <c r="C147" s="99" t="s">
        <v>159</v>
      </c>
      <c r="D147" s="160" t="s">
        <v>160</v>
      </c>
      <c r="E147" s="136" t="s">
        <v>53</v>
      </c>
      <c r="F147" s="137">
        <v>6</v>
      </c>
      <c r="G147" s="112">
        <f t="shared" si="21"/>
        <v>75.391999999999996</v>
      </c>
      <c r="H147" s="104">
        <f>'PREÇOS DE MERCADO'!G32</f>
        <v>94.24</v>
      </c>
      <c r="I147" s="104">
        <f t="shared" si="19"/>
        <v>452.35200000000003</v>
      </c>
      <c r="J147" s="152">
        <f t="shared" si="20"/>
        <v>565.44000000000005</v>
      </c>
      <c r="K147" s="151"/>
    </row>
    <row r="148" spans="1:11" s="72" customFormat="1">
      <c r="A148" s="97" t="s">
        <v>350</v>
      </c>
      <c r="B148" s="136" t="s">
        <v>26</v>
      </c>
      <c r="C148" s="99" t="s">
        <v>220</v>
      </c>
      <c r="D148" s="160" t="s">
        <v>221</v>
      </c>
      <c r="E148" s="136" t="s">
        <v>53</v>
      </c>
      <c r="F148" s="137">
        <v>1</v>
      </c>
      <c r="G148" s="112">
        <f t="shared" si="21"/>
        <v>113.08800000000001</v>
      </c>
      <c r="H148" s="104">
        <f>'PREÇOS DE MERCADO'!G35</f>
        <v>141.36000000000001</v>
      </c>
      <c r="I148" s="104">
        <f t="shared" si="19"/>
        <v>113.08800000000001</v>
      </c>
      <c r="J148" s="152">
        <f t="shared" si="20"/>
        <v>141.36000000000001</v>
      </c>
      <c r="K148" s="151"/>
    </row>
    <row r="149" spans="1:11" s="72" customFormat="1">
      <c r="A149" s="97" t="s">
        <v>351</v>
      </c>
      <c r="B149" s="136" t="s">
        <v>26</v>
      </c>
      <c r="C149" s="99" t="s">
        <v>352</v>
      </c>
      <c r="D149" s="160" t="s">
        <v>353</v>
      </c>
      <c r="E149" s="136" t="s">
        <v>53</v>
      </c>
      <c r="F149" s="137">
        <v>1</v>
      </c>
      <c r="G149" s="112">
        <f t="shared" si="21"/>
        <v>111.92</v>
      </c>
      <c r="H149" s="104">
        <f>'PREÇOS DE MERCADO'!G36</f>
        <v>139.9</v>
      </c>
      <c r="I149" s="104">
        <f t="shared" si="19"/>
        <v>111.92</v>
      </c>
      <c r="J149" s="152">
        <f t="shared" si="20"/>
        <v>139.9</v>
      </c>
      <c r="K149" s="151"/>
    </row>
    <row r="150" spans="1:11" s="72" customFormat="1">
      <c r="A150" s="97" t="s">
        <v>354</v>
      </c>
      <c r="B150" s="136" t="s">
        <v>26</v>
      </c>
      <c r="C150" s="99" t="s">
        <v>162</v>
      </c>
      <c r="D150" s="160" t="s">
        <v>163</v>
      </c>
      <c r="E150" s="136" t="s">
        <v>53</v>
      </c>
      <c r="F150" s="137">
        <v>15</v>
      </c>
      <c r="G150" s="112">
        <f t="shared" si="21"/>
        <v>13.76</v>
      </c>
      <c r="H150" s="104">
        <f>'PREÇOS DE MERCADO'!G37</f>
        <v>17.2</v>
      </c>
      <c r="I150" s="104">
        <f t="shared" si="19"/>
        <v>206.4</v>
      </c>
      <c r="J150" s="152">
        <f t="shared" si="20"/>
        <v>258</v>
      </c>
      <c r="K150" s="151"/>
    </row>
    <row r="151" spans="1:11" s="72" customFormat="1">
      <c r="A151" s="97" t="s">
        <v>355</v>
      </c>
      <c r="B151" s="136" t="s">
        <v>26</v>
      </c>
      <c r="C151" s="99" t="s">
        <v>165</v>
      </c>
      <c r="D151" s="160" t="s">
        <v>166</v>
      </c>
      <c r="E151" s="136" t="s">
        <v>53</v>
      </c>
      <c r="F151" s="137">
        <v>2</v>
      </c>
      <c r="G151" s="112">
        <f t="shared" si="21"/>
        <v>39.583999999999996</v>
      </c>
      <c r="H151" s="104">
        <f>'PREÇOS DE MERCADO'!G41</f>
        <v>49.48</v>
      </c>
      <c r="I151" s="104">
        <f t="shared" si="19"/>
        <v>79.167999999999992</v>
      </c>
      <c r="J151" s="152">
        <f t="shared" si="20"/>
        <v>98.96</v>
      </c>
      <c r="K151" s="151"/>
    </row>
    <row r="152" spans="1:11" s="72" customFormat="1">
      <c r="A152" s="97" t="s">
        <v>356</v>
      </c>
      <c r="B152" s="136" t="s">
        <v>26</v>
      </c>
      <c r="C152" s="99" t="s">
        <v>168</v>
      </c>
      <c r="D152" s="160" t="s">
        <v>169</v>
      </c>
      <c r="E152" s="136" t="s">
        <v>53</v>
      </c>
      <c r="F152" s="137">
        <v>2</v>
      </c>
      <c r="G152" s="112">
        <f t="shared" si="21"/>
        <v>106.96</v>
      </c>
      <c r="H152" s="104">
        <f>'PREÇOS DE MERCADO'!G44</f>
        <v>133.69999999999999</v>
      </c>
      <c r="I152" s="104">
        <f t="shared" si="19"/>
        <v>213.92</v>
      </c>
      <c r="J152" s="152">
        <f t="shared" si="20"/>
        <v>267.39999999999998</v>
      </c>
      <c r="K152" s="151"/>
    </row>
    <row r="153" spans="1:11" s="72" customFormat="1">
      <c r="A153" s="97" t="s">
        <v>357</v>
      </c>
      <c r="B153" s="136" t="s">
        <v>26</v>
      </c>
      <c r="C153" s="99" t="s">
        <v>171</v>
      </c>
      <c r="D153" s="160" t="s">
        <v>172</v>
      </c>
      <c r="E153" s="136" t="s">
        <v>53</v>
      </c>
      <c r="F153" s="137">
        <v>2</v>
      </c>
      <c r="G153" s="112">
        <f t="shared" si="21"/>
        <v>282.71999999999997</v>
      </c>
      <c r="H153" s="104">
        <f>'PREÇOS DE MERCADO'!G45</f>
        <v>353.4</v>
      </c>
      <c r="I153" s="104">
        <f t="shared" si="19"/>
        <v>565.43999999999994</v>
      </c>
      <c r="J153" s="152">
        <f t="shared" si="20"/>
        <v>706.8</v>
      </c>
      <c r="K153" s="151"/>
    </row>
    <row r="154" spans="1:11" s="72" customFormat="1">
      <c r="A154" s="97" t="s">
        <v>358</v>
      </c>
      <c r="B154" s="136" t="s">
        <v>26</v>
      </c>
      <c r="C154" s="99" t="s">
        <v>174</v>
      </c>
      <c r="D154" s="160" t="s">
        <v>175</v>
      </c>
      <c r="E154" s="136" t="s">
        <v>53</v>
      </c>
      <c r="F154" s="137">
        <v>6</v>
      </c>
      <c r="G154" s="112">
        <f t="shared" si="21"/>
        <v>17.04</v>
      </c>
      <c r="H154" s="104">
        <f>'PREÇOS DE MERCADO'!G46</f>
        <v>21.3</v>
      </c>
      <c r="I154" s="104">
        <f t="shared" si="19"/>
        <v>102.24</v>
      </c>
      <c r="J154" s="152">
        <f t="shared" si="20"/>
        <v>127.8</v>
      </c>
      <c r="K154" s="151"/>
    </row>
    <row r="155" spans="1:11" s="72" customFormat="1">
      <c r="A155" s="97" t="s">
        <v>359</v>
      </c>
      <c r="B155" s="136" t="s">
        <v>26</v>
      </c>
      <c r="C155" s="99" t="s">
        <v>177</v>
      </c>
      <c r="D155" s="160" t="s">
        <v>178</v>
      </c>
      <c r="E155" s="136" t="s">
        <v>53</v>
      </c>
      <c r="F155" s="137">
        <v>2</v>
      </c>
      <c r="G155" s="112">
        <f t="shared" si="21"/>
        <v>20.8</v>
      </c>
      <c r="H155" s="104">
        <f>'PREÇOS DE MERCADO'!G47</f>
        <v>26</v>
      </c>
      <c r="I155" s="104">
        <f t="shared" si="19"/>
        <v>41.6</v>
      </c>
      <c r="J155" s="152">
        <f t="shared" si="20"/>
        <v>52</v>
      </c>
      <c r="K155" s="151"/>
    </row>
    <row r="156" spans="1:11" s="72" customFormat="1">
      <c r="A156" s="97" t="s">
        <v>360</v>
      </c>
      <c r="B156" s="136" t="s">
        <v>26</v>
      </c>
      <c r="C156" s="99" t="s">
        <v>180</v>
      </c>
      <c r="D156" s="160" t="s">
        <v>181</v>
      </c>
      <c r="E156" s="136" t="s">
        <v>53</v>
      </c>
      <c r="F156" s="137">
        <v>2</v>
      </c>
      <c r="G156" s="112">
        <f t="shared" si="21"/>
        <v>40</v>
      </c>
      <c r="H156" s="104">
        <f>'PREÇOS DE MERCADO'!G48</f>
        <v>50</v>
      </c>
      <c r="I156" s="104">
        <f t="shared" si="19"/>
        <v>80</v>
      </c>
      <c r="J156" s="152">
        <f t="shared" si="20"/>
        <v>100</v>
      </c>
      <c r="K156" s="151"/>
    </row>
    <row r="157" spans="1:11" s="72" customFormat="1">
      <c r="A157" s="97" t="s">
        <v>361</v>
      </c>
      <c r="B157" s="136" t="s">
        <v>26</v>
      </c>
      <c r="C157" s="99" t="s">
        <v>362</v>
      </c>
      <c r="D157" s="160" t="s">
        <v>363</v>
      </c>
      <c r="E157" s="136" t="s">
        <v>53</v>
      </c>
      <c r="F157" s="137">
        <v>2</v>
      </c>
      <c r="G157" s="112">
        <f t="shared" si="21"/>
        <v>32.983999999999995</v>
      </c>
      <c r="H157" s="104">
        <f>'PREÇOS DE MERCADO'!G49</f>
        <v>41.23</v>
      </c>
      <c r="I157" s="104">
        <f t="shared" si="19"/>
        <v>65.967999999999989</v>
      </c>
      <c r="J157" s="152">
        <f t="shared" si="20"/>
        <v>82.46</v>
      </c>
      <c r="K157" s="151"/>
    </row>
    <row r="158" spans="1:11" s="72" customFormat="1">
      <c r="A158" s="97" t="s">
        <v>364</v>
      </c>
      <c r="B158" s="136" t="s">
        <v>26</v>
      </c>
      <c r="C158" s="99" t="s">
        <v>183</v>
      </c>
      <c r="D158" s="160" t="s">
        <v>184</v>
      </c>
      <c r="E158" s="136" t="s">
        <v>53</v>
      </c>
      <c r="F158" s="137">
        <v>8</v>
      </c>
      <c r="G158" s="112">
        <f t="shared" si="21"/>
        <v>13.391999999999999</v>
      </c>
      <c r="H158" s="104">
        <f>'PREÇOS DE MERCADO'!G50</f>
        <v>16.739999999999998</v>
      </c>
      <c r="I158" s="104">
        <f t="shared" si="19"/>
        <v>107.136</v>
      </c>
      <c r="J158" s="152">
        <f t="shared" si="20"/>
        <v>133.91999999999999</v>
      </c>
      <c r="K158" s="151"/>
    </row>
    <row r="159" spans="1:11" s="72" customFormat="1">
      <c r="A159" s="97" t="s">
        <v>365</v>
      </c>
      <c r="B159" s="136" t="s">
        <v>186</v>
      </c>
      <c r="C159" s="99" t="s">
        <v>187</v>
      </c>
      <c r="D159" s="160" t="s">
        <v>188</v>
      </c>
      <c r="E159" s="136" t="s">
        <v>53</v>
      </c>
      <c r="F159" s="137">
        <v>1</v>
      </c>
      <c r="G159" s="103">
        <v>2609.71</v>
      </c>
      <c r="H159" s="104">
        <f t="shared" ref="H159:H164" si="22">G159*1.25</f>
        <v>3262.1374999999998</v>
      </c>
      <c r="I159" s="104">
        <f t="shared" si="19"/>
        <v>2609.7040000000002</v>
      </c>
      <c r="J159" s="150">
        <f t="shared" si="20"/>
        <v>3262.13</v>
      </c>
      <c r="K159" s="151"/>
    </row>
    <row r="160" spans="1:11" s="72" customFormat="1">
      <c r="A160" s="97" t="s">
        <v>366</v>
      </c>
      <c r="B160" s="136" t="s">
        <v>186</v>
      </c>
      <c r="C160" s="99" t="s">
        <v>190</v>
      </c>
      <c r="D160" s="160" t="s">
        <v>191</v>
      </c>
      <c r="E160" s="136" t="s">
        <v>53</v>
      </c>
      <c r="F160" s="137">
        <v>2</v>
      </c>
      <c r="G160" s="103">
        <v>3181.92</v>
      </c>
      <c r="H160" s="104">
        <f t="shared" si="22"/>
        <v>3977.4</v>
      </c>
      <c r="I160" s="104">
        <f t="shared" si="19"/>
        <v>6363.84</v>
      </c>
      <c r="J160" s="150">
        <f t="shared" si="20"/>
        <v>7954.8</v>
      </c>
      <c r="K160" s="151"/>
    </row>
    <row r="161" spans="1:11" s="72" customFormat="1">
      <c r="A161" s="97" t="s">
        <v>367</v>
      </c>
      <c r="B161" s="136" t="s">
        <v>26</v>
      </c>
      <c r="C161" s="99" t="s">
        <v>193</v>
      </c>
      <c r="D161" s="160" t="s">
        <v>194</v>
      </c>
      <c r="E161" s="136" t="s">
        <v>53</v>
      </c>
      <c r="F161" s="137">
        <v>4</v>
      </c>
      <c r="G161" s="112">
        <f t="shared" ref="G161:G166" si="23">H161/1.25</f>
        <v>184.64000000000001</v>
      </c>
      <c r="H161" s="104">
        <f>'PREÇOS DE MERCADO'!G52</f>
        <v>230.8</v>
      </c>
      <c r="I161" s="104">
        <f t="shared" si="19"/>
        <v>738.56000000000006</v>
      </c>
      <c r="J161" s="152">
        <f t="shared" si="20"/>
        <v>923.2</v>
      </c>
      <c r="K161" s="151"/>
    </row>
    <row r="162" spans="1:11" s="72" customFormat="1" ht="25.5">
      <c r="A162" s="97" t="s">
        <v>368</v>
      </c>
      <c r="B162" s="136" t="s">
        <v>59</v>
      </c>
      <c r="C162" s="99" t="s">
        <v>115</v>
      </c>
      <c r="D162" s="160" t="s">
        <v>197</v>
      </c>
      <c r="E162" s="136" t="s">
        <v>53</v>
      </c>
      <c r="F162" s="137">
        <v>5</v>
      </c>
      <c r="G162" s="103">
        <v>510.17</v>
      </c>
      <c r="H162" s="104">
        <f>G162*1.25</f>
        <v>637.71249999999998</v>
      </c>
      <c r="I162" s="104">
        <f t="shared" si="19"/>
        <v>2550.848</v>
      </c>
      <c r="J162" s="150">
        <f t="shared" si="20"/>
        <v>3188.56</v>
      </c>
      <c r="K162" s="151"/>
    </row>
    <row r="163" spans="1:11" s="72" customFormat="1">
      <c r="A163" s="97" t="s">
        <v>369</v>
      </c>
      <c r="B163" s="136" t="s">
        <v>26</v>
      </c>
      <c r="C163" s="99" t="s">
        <v>199</v>
      </c>
      <c r="D163" s="160" t="s">
        <v>200</v>
      </c>
      <c r="E163" s="136" t="s">
        <v>53</v>
      </c>
      <c r="F163" s="137">
        <v>5</v>
      </c>
      <c r="G163" s="112">
        <f t="shared" si="23"/>
        <v>471.2</v>
      </c>
      <c r="H163" s="104">
        <f>'PREÇOS DE MERCADO'!G53</f>
        <v>589</v>
      </c>
      <c r="I163" s="104">
        <f t="shared" si="19"/>
        <v>2356</v>
      </c>
      <c r="J163" s="152">
        <f t="shared" si="20"/>
        <v>2945</v>
      </c>
      <c r="K163" s="151"/>
    </row>
    <row r="164" spans="1:11" s="72" customFormat="1" ht="25.5">
      <c r="A164" s="97" t="s">
        <v>370</v>
      </c>
      <c r="B164" s="136" t="s">
        <v>186</v>
      </c>
      <c r="C164" s="99" t="s">
        <v>371</v>
      </c>
      <c r="D164" s="160" t="s">
        <v>203</v>
      </c>
      <c r="E164" s="136" t="s">
        <v>68</v>
      </c>
      <c r="F164" s="137">
        <v>25</v>
      </c>
      <c r="G164" s="103">
        <v>3.86</v>
      </c>
      <c r="H164" s="104">
        <f t="shared" si="22"/>
        <v>4.8250000000000002</v>
      </c>
      <c r="I164" s="104">
        <f t="shared" si="19"/>
        <v>96.495999999999995</v>
      </c>
      <c r="J164" s="150">
        <f t="shared" si="20"/>
        <v>120.62</v>
      </c>
      <c r="K164" s="151"/>
    </row>
    <row r="165" spans="1:11" s="72" customFormat="1" ht="25.5">
      <c r="A165" s="128" t="s">
        <v>372</v>
      </c>
      <c r="B165" s="129"/>
      <c r="C165" s="130"/>
      <c r="D165" s="131" t="s">
        <v>373</v>
      </c>
      <c r="E165" s="132"/>
      <c r="F165" s="133"/>
      <c r="G165" s="134"/>
      <c r="H165" s="135"/>
      <c r="I165" s="156">
        <f>SUBTOTAL(9,I166:I194)</f>
        <v>59776.712</v>
      </c>
      <c r="J165" s="157">
        <f>SUBTOTAL(9,J166:J194)</f>
        <v>74720.89</v>
      </c>
    </row>
    <row r="166" spans="1:11" s="72" customFormat="1">
      <c r="A166" s="97" t="s">
        <v>374</v>
      </c>
      <c r="B166" s="136" t="s">
        <v>26</v>
      </c>
      <c r="C166" s="99" t="s">
        <v>129</v>
      </c>
      <c r="D166" s="160" t="s">
        <v>130</v>
      </c>
      <c r="E166" s="136" t="s">
        <v>53</v>
      </c>
      <c r="F166" s="136">
        <v>32</v>
      </c>
      <c r="G166" s="112">
        <f t="shared" si="23"/>
        <v>109.75999999999999</v>
      </c>
      <c r="H166" s="104">
        <f>'PREÇOS DE MERCADO'!G22</f>
        <v>137.19999999999999</v>
      </c>
      <c r="I166" s="104">
        <f t="shared" ref="I166:I194" si="24">J166/1.25</f>
        <v>3512.3199999999997</v>
      </c>
      <c r="J166" s="152">
        <f t="shared" ref="J166:J194" si="25">TRUNC(F166*H166,2)</f>
        <v>4390.3999999999996</v>
      </c>
      <c r="K166" s="151"/>
    </row>
    <row r="167" spans="1:11" s="72" customFormat="1" ht="25.5">
      <c r="A167" s="97" t="s">
        <v>375</v>
      </c>
      <c r="B167" s="136" t="s">
        <v>59</v>
      </c>
      <c r="C167" s="99" t="s">
        <v>339</v>
      </c>
      <c r="D167" s="160" t="s">
        <v>133</v>
      </c>
      <c r="E167" s="136" t="s">
        <v>53</v>
      </c>
      <c r="F167" s="136">
        <v>6</v>
      </c>
      <c r="G167" s="103">
        <v>12.02</v>
      </c>
      <c r="H167" s="104">
        <f>G167*1.25</f>
        <v>15.024999999999999</v>
      </c>
      <c r="I167" s="104">
        <f t="shared" si="24"/>
        <v>72.12</v>
      </c>
      <c r="J167" s="150">
        <f t="shared" si="25"/>
        <v>90.15</v>
      </c>
      <c r="K167" s="151"/>
    </row>
    <row r="168" spans="1:11" s="72" customFormat="1">
      <c r="A168" s="97" t="s">
        <v>376</v>
      </c>
      <c r="B168" s="136" t="s">
        <v>26</v>
      </c>
      <c r="C168" s="99" t="s">
        <v>138</v>
      </c>
      <c r="D168" s="160" t="s">
        <v>139</v>
      </c>
      <c r="E168" s="136" t="s">
        <v>53</v>
      </c>
      <c r="F168" s="136">
        <v>22</v>
      </c>
      <c r="G168" s="112">
        <f t="shared" ref="G168:G186" si="26">H168/1.25</f>
        <v>42.4</v>
      </c>
      <c r="H168" s="104">
        <f>'PREÇOS DE MERCADO'!G24</f>
        <v>53</v>
      </c>
      <c r="I168" s="104">
        <f t="shared" si="24"/>
        <v>932.8</v>
      </c>
      <c r="J168" s="152">
        <f t="shared" si="25"/>
        <v>1166</v>
      </c>
      <c r="K168" s="151"/>
    </row>
    <row r="169" spans="1:11" s="72" customFormat="1">
      <c r="A169" s="97" t="s">
        <v>377</v>
      </c>
      <c r="B169" s="136" t="s">
        <v>26</v>
      </c>
      <c r="C169" s="99" t="s">
        <v>141</v>
      </c>
      <c r="D169" s="160" t="s">
        <v>142</v>
      </c>
      <c r="E169" s="136" t="s">
        <v>53</v>
      </c>
      <c r="F169" s="136">
        <v>16</v>
      </c>
      <c r="G169" s="112">
        <f t="shared" si="26"/>
        <v>4</v>
      </c>
      <c r="H169" s="104">
        <f>'PREÇOS DE MERCADO'!G25</f>
        <v>5</v>
      </c>
      <c r="I169" s="104">
        <f t="shared" si="24"/>
        <v>64</v>
      </c>
      <c r="J169" s="152">
        <f t="shared" si="25"/>
        <v>80</v>
      </c>
      <c r="K169" s="151"/>
    </row>
    <row r="170" spans="1:11" s="72" customFormat="1">
      <c r="A170" s="97" t="s">
        <v>378</v>
      </c>
      <c r="B170" s="136" t="s">
        <v>186</v>
      </c>
      <c r="C170" s="99" t="s">
        <v>147</v>
      </c>
      <c r="D170" s="160" t="s">
        <v>148</v>
      </c>
      <c r="E170" s="136" t="s">
        <v>68</v>
      </c>
      <c r="F170" s="136">
        <v>40</v>
      </c>
      <c r="G170" s="103">
        <v>23.58</v>
      </c>
      <c r="H170" s="104">
        <f>G170*1.25</f>
        <v>29.474999999999998</v>
      </c>
      <c r="I170" s="104">
        <f t="shared" si="24"/>
        <v>943.2</v>
      </c>
      <c r="J170" s="150">
        <f t="shared" si="25"/>
        <v>1179</v>
      </c>
      <c r="K170" s="151"/>
    </row>
    <row r="171" spans="1:11" s="72" customFormat="1">
      <c r="A171" s="97" t="s">
        <v>379</v>
      </c>
      <c r="B171" s="136" t="s">
        <v>26</v>
      </c>
      <c r="C171" s="99" t="s">
        <v>380</v>
      </c>
      <c r="D171" s="160" t="s">
        <v>381</v>
      </c>
      <c r="E171" s="136" t="s">
        <v>68</v>
      </c>
      <c r="F171" s="136">
        <v>7</v>
      </c>
      <c r="G171" s="112">
        <f t="shared" si="26"/>
        <v>20.736000000000001</v>
      </c>
      <c r="H171" s="104">
        <f>'PREÇOS DE MERCADO'!G28</f>
        <v>25.92</v>
      </c>
      <c r="I171" s="104">
        <f t="shared" si="24"/>
        <v>145.15199999999999</v>
      </c>
      <c r="J171" s="152">
        <f t="shared" si="25"/>
        <v>181.44</v>
      </c>
      <c r="K171" s="151"/>
    </row>
    <row r="172" spans="1:11" s="72" customFormat="1" ht="25.5">
      <c r="A172" s="97" t="s">
        <v>382</v>
      </c>
      <c r="B172" s="136" t="s">
        <v>26</v>
      </c>
      <c r="C172" s="99" t="s">
        <v>150</v>
      </c>
      <c r="D172" s="160" t="s">
        <v>151</v>
      </c>
      <c r="E172" s="136" t="s">
        <v>68</v>
      </c>
      <c r="F172" s="136">
        <v>295</v>
      </c>
      <c r="G172" s="112">
        <f t="shared" si="26"/>
        <v>45.231999999999999</v>
      </c>
      <c r="H172" s="104">
        <f>'PREÇOS DE MERCADO'!G29</f>
        <v>56.54</v>
      </c>
      <c r="I172" s="104">
        <f t="shared" si="24"/>
        <v>13343.439999999999</v>
      </c>
      <c r="J172" s="152">
        <f t="shared" si="25"/>
        <v>16679.3</v>
      </c>
      <c r="K172" s="151"/>
    </row>
    <row r="173" spans="1:11" s="72" customFormat="1">
      <c r="A173" s="97" t="s">
        <v>383</v>
      </c>
      <c r="B173" s="136" t="s">
        <v>26</v>
      </c>
      <c r="C173" s="99" t="s">
        <v>153</v>
      </c>
      <c r="D173" s="160" t="s">
        <v>154</v>
      </c>
      <c r="E173" s="136" t="s">
        <v>53</v>
      </c>
      <c r="F173" s="136">
        <v>5</v>
      </c>
      <c r="G173" s="112">
        <f t="shared" si="26"/>
        <v>54.239999999999995</v>
      </c>
      <c r="H173" s="104">
        <f>'PREÇOS DE MERCADO'!G30</f>
        <v>67.8</v>
      </c>
      <c r="I173" s="104">
        <f t="shared" si="24"/>
        <v>271.2</v>
      </c>
      <c r="J173" s="152">
        <f t="shared" si="25"/>
        <v>339</v>
      </c>
      <c r="K173" s="151"/>
    </row>
    <row r="174" spans="1:11" s="72" customFormat="1">
      <c r="A174" s="97" t="s">
        <v>384</v>
      </c>
      <c r="B174" s="136" t="s">
        <v>26</v>
      </c>
      <c r="C174" s="99" t="s">
        <v>156</v>
      </c>
      <c r="D174" s="160" t="s">
        <v>157</v>
      </c>
      <c r="E174" s="136" t="s">
        <v>53</v>
      </c>
      <c r="F174" s="136">
        <v>10</v>
      </c>
      <c r="G174" s="112">
        <f t="shared" si="26"/>
        <v>65.967999999999989</v>
      </c>
      <c r="H174" s="104">
        <f>'PREÇOS DE MERCADO'!G31</f>
        <v>82.46</v>
      </c>
      <c r="I174" s="104">
        <f t="shared" si="24"/>
        <v>659.68000000000006</v>
      </c>
      <c r="J174" s="152">
        <f t="shared" si="25"/>
        <v>824.6</v>
      </c>
      <c r="K174" s="151"/>
    </row>
    <row r="175" spans="1:11" s="72" customFormat="1">
      <c r="A175" s="97" t="s">
        <v>385</v>
      </c>
      <c r="B175" s="136" t="s">
        <v>26</v>
      </c>
      <c r="C175" s="99" t="s">
        <v>159</v>
      </c>
      <c r="D175" s="160" t="s">
        <v>160</v>
      </c>
      <c r="E175" s="136" t="s">
        <v>53</v>
      </c>
      <c r="F175" s="136">
        <v>9</v>
      </c>
      <c r="G175" s="112">
        <f t="shared" si="26"/>
        <v>75.391999999999996</v>
      </c>
      <c r="H175" s="104">
        <f>'PREÇOS DE MERCADO'!G32</f>
        <v>94.24</v>
      </c>
      <c r="I175" s="104">
        <f t="shared" si="24"/>
        <v>678.52800000000002</v>
      </c>
      <c r="J175" s="152">
        <f t="shared" si="25"/>
        <v>848.16</v>
      </c>
      <c r="K175" s="151"/>
    </row>
    <row r="176" spans="1:11" s="72" customFormat="1">
      <c r="A176" s="97" t="s">
        <v>386</v>
      </c>
      <c r="B176" s="136" t="s">
        <v>26</v>
      </c>
      <c r="C176" s="99" t="s">
        <v>387</v>
      </c>
      <c r="D176" s="160" t="s">
        <v>388</v>
      </c>
      <c r="E176" s="136" t="s">
        <v>53</v>
      </c>
      <c r="F176" s="136">
        <v>4</v>
      </c>
      <c r="G176" s="112">
        <f t="shared" si="26"/>
        <v>84.816000000000003</v>
      </c>
      <c r="H176" s="104">
        <f>'PREÇOS DE MERCADO'!G33</f>
        <v>106.02</v>
      </c>
      <c r="I176" s="104">
        <f t="shared" si="24"/>
        <v>339.26400000000001</v>
      </c>
      <c r="J176" s="152">
        <f t="shared" si="25"/>
        <v>424.08</v>
      </c>
      <c r="K176" s="151"/>
    </row>
    <row r="177" spans="1:11" s="72" customFormat="1">
      <c r="A177" s="97" t="s">
        <v>389</v>
      </c>
      <c r="B177" s="136" t="s">
        <v>26</v>
      </c>
      <c r="C177" s="99" t="s">
        <v>390</v>
      </c>
      <c r="D177" s="160" t="s">
        <v>391</v>
      </c>
      <c r="E177" s="136" t="s">
        <v>53</v>
      </c>
      <c r="F177" s="136">
        <v>6</v>
      </c>
      <c r="G177" s="112">
        <f t="shared" si="26"/>
        <v>92.16</v>
      </c>
      <c r="H177" s="104">
        <f>'PREÇOS DE MERCADO'!G34</f>
        <v>115.2</v>
      </c>
      <c r="I177" s="104">
        <f t="shared" si="24"/>
        <v>552.96</v>
      </c>
      <c r="J177" s="152">
        <f t="shared" si="25"/>
        <v>691.2</v>
      </c>
      <c r="K177" s="151"/>
    </row>
    <row r="178" spans="1:11" s="72" customFormat="1">
      <c r="A178" s="97" t="s">
        <v>392</v>
      </c>
      <c r="B178" s="136" t="s">
        <v>26</v>
      </c>
      <c r="C178" s="99" t="s">
        <v>162</v>
      </c>
      <c r="D178" s="160" t="s">
        <v>163</v>
      </c>
      <c r="E178" s="136" t="s">
        <v>53</v>
      </c>
      <c r="F178" s="136">
        <v>33</v>
      </c>
      <c r="G178" s="112">
        <f t="shared" si="26"/>
        <v>13.76</v>
      </c>
      <c r="H178" s="104">
        <f>'PREÇOS DE MERCADO'!G37</f>
        <v>17.2</v>
      </c>
      <c r="I178" s="104">
        <f t="shared" si="24"/>
        <v>454.08000000000004</v>
      </c>
      <c r="J178" s="152">
        <f t="shared" si="25"/>
        <v>567.6</v>
      </c>
      <c r="K178" s="151"/>
    </row>
    <row r="179" spans="1:11" s="72" customFormat="1">
      <c r="A179" s="97" t="s">
        <v>393</v>
      </c>
      <c r="B179" s="136" t="s">
        <v>26</v>
      </c>
      <c r="C179" s="99" t="s">
        <v>224</v>
      </c>
      <c r="D179" s="160" t="s">
        <v>394</v>
      </c>
      <c r="E179" s="136" t="s">
        <v>53</v>
      </c>
      <c r="F179" s="136">
        <v>4</v>
      </c>
      <c r="G179" s="112">
        <f t="shared" si="26"/>
        <v>30.8</v>
      </c>
      <c r="H179" s="104">
        <f>'PREÇOS DE MERCADO'!G38</f>
        <v>38.5</v>
      </c>
      <c r="I179" s="104">
        <f t="shared" si="24"/>
        <v>123.2</v>
      </c>
      <c r="J179" s="152">
        <f t="shared" si="25"/>
        <v>154</v>
      </c>
      <c r="K179" s="151"/>
    </row>
    <row r="180" spans="1:11" s="72" customFormat="1">
      <c r="A180" s="97" t="s">
        <v>395</v>
      </c>
      <c r="B180" s="136" t="s">
        <v>26</v>
      </c>
      <c r="C180" s="99" t="s">
        <v>165</v>
      </c>
      <c r="D180" s="160" t="s">
        <v>166</v>
      </c>
      <c r="E180" s="136" t="s">
        <v>53</v>
      </c>
      <c r="F180" s="136">
        <v>4</v>
      </c>
      <c r="G180" s="112">
        <f t="shared" si="26"/>
        <v>39.583999999999996</v>
      </c>
      <c r="H180" s="104">
        <f>'PREÇOS DE MERCADO'!G41</f>
        <v>49.48</v>
      </c>
      <c r="I180" s="104">
        <f t="shared" si="24"/>
        <v>158.33599999999998</v>
      </c>
      <c r="J180" s="152">
        <f t="shared" si="25"/>
        <v>197.92</v>
      </c>
      <c r="K180" s="151"/>
    </row>
    <row r="181" spans="1:11" s="72" customFormat="1">
      <c r="A181" s="97" t="s">
        <v>396</v>
      </c>
      <c r="B181" s="136" t="s">
        <v>26</v>
      </c>
      <c r="C181" s="99" t="s">
        <v>168</v>
      </c>
      <c r="D181" s="160" t="s">
        <v>169</v>
      </c>
      <c r="E181" s="136" t="s">
        <v>53</v>
      </c>
      <c r="F181" s="136">
        <v>4</v>
      </c>
      <c r="G181" s="112">
        <f t="shared" si="26"/>
        <v>106.96</v>
      </c>
      <c r="H181" s="104">
        <f>'PREÇOS DE MERCADO'!G44</f>
        <v>133.69999999999999</v>
      </c>
      <c r="I181" s="104">
        <f t="shared" si="24"/>
        <v>427.84</v>
      </c>
      <c r="J181" s="152">
        <f t="shared" si="25"/>
        <v>534.79999999999995</v>
      </c>
      <c r="K181" s="151"/>
    </row>
    <row r="182" spans="1:11" s="72" customFormat="1">
      <c r="A182" s="97" t="s">
        <v>397</v>
      </c>
      <c r="B182" s="136" t="s">
        <v>26</v>
      </c>
      <c r="C182" s="99" t="s">
        <v>171</v>
      </c>
      <c r="D182" s="160" t="s">
        <v>172</v>
      </c>
      <c r="E182" s="136" t="s">
        <v>53</v>
      </c>
      <c r="F182" s="136">
        <v>4</v>
      </c>
      <c r="G182" s="112">
        <f t="shared" si="26"/>
        <v>282.71999999999997</v>
      </c>
      <c r="H182" s="104">
        <f>'PREÇOS DE MERCADO'!G45</f>
        <v>353.4</v>
      </c>
      <c r="I182" s="104">
        <f t="shared" si="24"/>
        <v>1130.8799999999999</v>
      </c>
      <c r="J182" s="152">
        <f t="shared" si="25"/>
        <v>1413.6</v>
      </c>
      <c r="K182" s="151"/>
    </row>
    <row r="183" spans="1:11" s="72" customFormat="1">
      <c r="A183" s="97" t="s">
        <v>398</v>
      </c>
      <c r="B183" s="136" t="s">
        <v>26</v>
      </c>
      <c r="C183" s="99" t="s">
        <v>174</v>
      </c>
      <c r="D183" s="160" t="s">
        <v>175</v>
      </c>
      <c r="E183" s="136" t="s">
        <v>53</v>
      </c>
      <c r="F183" s="136">
        <v>22</v>
      </c>
      <c r="G183" s="112">
        <f t="shared" si="26"/>
        <v>17.04</v>
      </c>
      <c r="H183" s="104">
        <f>'PREÇOS DE MERCADO'!G46</f>
        <v>21.3</v>
      </c>
      <c r="I183" s="104">
        <f t="shared" si="24"/>
        <v>374.88</v>
      </c>
      <c r="J183" s="152">
        <f t="shared" si="25"/>
        <v>468.6</v>
      </c>
      <c r="K183" s="151"/>
    </row>
    <row r="184" spans="1:11" s="72" customFormat="1">
      <c r="A184" s="97" t="s">
        <v>399</v>
      </c>
      <c r="B184" s="136" t="s">
        <v>26</v>
      </c>
      <c r="C184" s="99" t="s">
        <v>177</v>
      </c>
      <c r="D184" s="160" t="s">
        <v>178</v>
      </c>
      <c r="E184" s="136" t="s">
        <v>53</v>
      </c>
      <c r="F184" s="136">
        <v>5</v>
      </c>
      <c r="G184" s="112">
        <f t="shared" si="26"/>
        <v>20.8</v>
      </c>
      <c r="H184" s="104">
        <f>'PREÇOS DE MERCADO'!G47</f>
        <v>26</v>
      </c>
      <c r="I184" s="104">
        <f t="shared" si="24"/>
        <v>104</v>
      </c>
      <c r="J184" s="152">
        <f t="shared" si="25"/>
        <v>130</v>
      </c>
      <c r="K184" s="151"/>
    </row>
    <row r="185" spans="1:11" s="72" customFormat="1">
      <c r="A185" s="97" t="s">
        <v>400</v>
      </c>
      <c r="B185" s="136" t="s">
        <v>26</v>
      </c>
      <c r="C185" s="99" t="s">
        <v>180</v>
      </c>
      <c r="D185" s="160" t="s">
        <v>401</v>
      </c>
      <c r="E185" s="136" t="s">
        <v>53</v>
      </c>
      <c r="F185" s="136">
        <v>4</v>
      </c>
      <c r="G185" s="112">
        <f t="shared" si="26"/>
        <v>40</v>
      </c>
      <c r="H185" s="104">
        <f>'PREÇOS DE MERCADO'!G48</f>
        <v>50</v>
      </c>
      <c r="I185" s="104">
        <f t="shared" si="24"/>
        <v>160</v>
      </c>
      <c r="J185" s="152">
        <f t="shared" si="25"/>
        <v>200</v>
      </c>
      <c r="K185" s="151"/>
    </row>
    <row r="186" spans="1:11" s="72" customFormat="1">
      <c r="A186" s="97" t="s">
        <v>402</v>
      </c>
      <c r="B186" s="136" t="s">
        <v>26</v>
      </c>
      <c r="C186" s="99" t="s">
        <v>183</v>
      </c>
      <c r="D186" s="160" t="s">
        <v>184</v>
      </c>
      <c r="E186" s="136" t="s">
        <v>53</v>
      </c>
      <c r="F186" s="136">
        <v>22</v>
      </c>
      <c r="G186" s="112">
        <f t="shared" si="26"/>
        <v>13.391999999999999</v>
      </c>
      <c r="H186" s="104">
        <f>'PREÇOS DE MERCADO'!G50</f>
        <v>16.739999999999998</v>
      </c>
      <c r="I186" s="104">
        <f t="shared" si="24"/>
        <v>294.62399999999997</v>
      </c>
      <c r="J186" s="152">
        <f t="shared" si="25"/>
        <v>368.28</v>
      </c>
      <c r="K186" s="151"/>
    </row>
    <row r="187" spans="1:11" s="72" customFormat="1">
      <c r="A187" s="97" t="s">
        <v>403</v>
      </c>
      <c r="B187" s="136" t="s">
        <v>186</v>
      </c>
      <c r="C187" s="99" t="s">
        <v>404</v>
      </c>
      <c r="D187" s="160" t="s">
        <v>188</v>
      </c>
      <c r="E187" s="136" t="s">
        <v>53</v>
      </c>
      <c r="F187" s="136">
        <v>5</v>
      </c>
      <c r="G187" s="103">
        <v>2609.71</v>
      </c>
      <c r="H187" s="104">
        <f t="shared" ref="H187:H191" si="27">G187*1.25</f>
        <v>3262.1374999999998</v>
      </c>
      <c r="I187" s="104">
        <f t="shared" si="24"/>
        <v>13048.544</v>
      </c>
      <c r="J187" s="150">
        <f t="shared" si="25"/>
        <v>16310.68</v>
      </c>
      <c r="K187" s="151"/>
    </row>
    <row r="188" spans="1:11" s="72" customFormat="1">
      <c r="A188" s="97" t="s">
        <v>405</v>
      </c>
      <c r="B188" s="136" t="s">
        <v>186</v>
      </c>
      <c r="C188" s="99" t="s">
        <v>190</v>
      </c>
      <c r="D188" s="160" t="s">
        <v>191</v>
      </c>
      <c r="E188" s="136" t="s">
        <v>53</v>
      </c>
      <c r="F188" s="136">
        <v>3</v>
      </c>
      <c r="G188" s="103">
        <v>3181.92</v>
      </c>
      <c r="H188" s="104">
        <f t="shared" si="27"/>
        <v>3977.4</v>
      </c>
      <c r="I188" s="104">
        <f t="shared" si="24"/>
        <v>9545.76</v>
      </c>
      <c r="J188" s="150">
        <f t="shared" si="25"/>
        <v>11932.2</v>
      </c>
      <c r="K188" s="151"/>
    </row>
    <row r="189" spans="1:11" s="72" customFormat="1">
      <c r="A189" s="97" t="s">
        <v>406</v>
      </c>
      <c r="B189" s="136" t="s">
        <v>26</v>
      </c>
      <c r="C189" s="99" t="s">
        <v>407</v>
      </c>
      <c r="D189" s="160" t="s">
        <v>408</v>
      </c>
      <c r="E189" s="136" t="s">
        <v>53</v>
      </c>
      <c r="F189" s="136">
        <v>4</v>
      </c>
      <c r="G189" s="112">
        <f t="shared" ref="G189:G193" si="28">H189/1.25</f>
        <v>22.616</v>
      </c>
      <c r="H189" s="104">
        <f>'PREÇOS DE MERCADO'!G51</f>
        <v>28.27</v>
      </c>
      <c r="I189" s="104">
        <f t="shared" si="24"/>
        <v>90.463999999999999</v>
      </c>
      <c r="J189" s="152">
        <f t="shared" si="25"/>
        <v>113.08</v>
      </c>
      <c r="K189" s="151"/>
    </row>
    <row r="190" spans="1:11" s="72" customFormat="1">
      <c r="A190" s="97" t="s">
        <v>409</v>
      </c>
      <c r="B190" s="136" t="s">
        <v>26</v>
      </c>
      <c r="C190" s="99" t="s">
        <v>193</v>
      </c>
      <c r="D190" s="160" t="s">
        <v>194</v>
      </c>
      <c r="E190" s="136" t="s">
        <v>53</v>
      </c>
      <c r="F190" s="136">
        <v>6</v>
      </c>
      <c r="G190" s="112">
        <f t="shared" si="28"/>
        <v>184.64000000000001</v>
      </c>
      <c r="H190" s="104">
        <f>'PREÇOS DE MERCADO'!G52</f>
        <v>230.8</v>
      </c>
      <c r="I190" s="104">
        <f t="shared" si="24"/>
        <v>1107.8399999999999</v>
      </c>
      <c r="J190" s="152">
        <f t="shared" si="25"/>
        <v>1384.8</v>
      </c>
      <c r="K190" s="151"/>
    </row>
    <row r="191" spans="1:11" s="72" customFormat="1" ht="25.5">
      <c r="A191" s="97" t="s">
        <v>410</v>
      </c>
      <c r="B191" s="136" t="s">
        <v>59</v>
      </c>
      <c r="C191" s="99" t="s">
        <v>115</v>
      </c>
      <c r="D191" s="160" t="s">
        <v>197</v>
      </c>
      <c r="E191" s="136" t="s">
        <v>53</v>
      </c>
      <c r="F191" s="136">
        <v>11</v>
      </c>
      <c r="G191" s="103">
        <v>510.17</v>
      </c>
      <c r="H191" s="104">
        <f t="shared" si="27"/>
        <v>637.71249999999998</v>
      </c>
      <c r="I191" s="104">
        <f t="shared" si="24"/>
        <v>5611.8639999999996</v>
      </c>
      <c r="J191" s="150">
        <f t="shared" si="25"/>
        <v>7014.83</v>
      </c>
      <c r="K191" s="151"/>
    </row>
    <row r="192" spans="1:11" s="72" customFormat="1">
      <c r="A192" s="97" t="s">
        <v>411</v>
      </c>
      <c r="B192" s="136" t="s">
        <v>26</v>
      </c>
      <c r="C192" s="99" t="s">
        <v>199</v>
      </c>
      <c r="D192" s="160" t="s">
        <v>200</v>
      </c>
      <c r="E192" s="136" t="s">
        <v>53</v>
      </c>
      <c r="F192" s="136">
        <v>11</v>
      </c>
      <c r="G192" s="112">
        <f t="shared" si="28"/>
        <v>471.2</v>
      </c>
      <c r="H192" s="104">
        <f>'PREÇOS DE MERCADO'!G53</f>
        <v>589</v>
      </c>
      <c r="I192" s="104">
        <f t="shared" si="24"/>
        <v>5183.2</v>
      </c>
      <c r="J192" s="152">
        <f t="shared" si="25"/>
        <v>6479</v>
      </c>
      <c r="K192" s="151"/>
    </row>
    <row r="193" spans="1:11" s="72" customFormat="1">
      <c r="A193" s="97" t="s">
        <v>412</v>
      </c>
      <c r="B193" s="158" t="s">
        <v>26</v>
      </c>
      <c r="C193" s="99" t="s">
        <v>255</v>
      </c>
      <c r="D193" s="160" t="s">
        <v>256</v>
      </c>
      <c r="E193" s="136" t="s">
        <v>53</v>
      </c>
      <c r="F193" s="136">
        <v>3</v>
      </c>
      <c r="G193" s="112">
        <f t="shared" si="28"/>
        <v>78.08</v>
      </c>
      <c r="H193" s="104">
        <f>'PREÇOS DE MERCADO'!G55</f>
        <v>97.6</v>
      </c>
      <c r="I193" s="104">
        <f t="shared" si="24"/>
        <v>234.24</v>
      </c>
      <c r="J193" s="152">
        <f t="shared" si="25"/>
        <v>292.8</v>
      </c>
      <c r="K193" s="151"/>
    </row>
    <row r="194" spans="1:11" s="72" customFormat="1" ht="25.5">
      <c r="A194" s="113" t="s">
        <v>413</v>
      </c>
      <c r="B194" s="162" t="s">
        <v>186</v>
      </c>
      <c r="C194" s="115" t="s">
        <v>371</v>
      </c>
      <c r="D194" s="163" t="s">
        <v>203</v>
      </c>
      <c r="E194" s="162" t="s">
        <v>68</v>
      </c>
      <c r="F194" s="162">
        <v>55</v>
      </c>
      <c r="G194" s="164">
        <v>3.86</v>
      </c>
      <c r="H194" s="120">
        <f>G194*1.25</f>
        <v>4.8250000000000002</v>
      </c>
      <c r="I194" s="120">
        <f t="shared" si="24"/>
        <v>212.29599999999999</v>
      </c>
      <c r="J194" s="153">
        <f t="shared" si="25"/>
        <v>265.37</v>
      </c>
      <c r="K194" s="151"/>
    </row>
    <row r="195" spans="1:11" s="72" customFormat="1" ht="29.1" customHeight="1">
      <c r="A195" s="165" t="s">
        <v>414</v>
      </c>
      <c r="B195" s="236" t="s">
        <v>415</v>
      </c>
      <c r="C195" s="236"/>
      <c r="D195" s="236"/>
      <c r="E195" s="236"/>
      <c r="F195" s="236"/>
      <c r="G195" s="236"/>
      <c r="H195" s="236"/>
      <c r="I195" s="191">
        <f>SUBTOTAL(9,I198:I242)</f>
        <v>35892.567999999999</v>
      </c>
      <c r="J195" s="192">
        <f>SUBTOTAL(9,J198:J242)</f>
        <v>44865.71</v>
      </c>
    </row>
    <row r="196" spans="1:11" s="72" customFormat="1" ht="29.1" customHeight="1">
      <c r="A196" s="237" t="s">
        <v>30</v>
      </c>
      <c r="B196" s="238" t="s">
        <v>31</v>
      </c>
      <c r="C196" s="238" t="s">
        <v>32</v>
      </c>
      <c r="D196" s="239" t="s">
        <v>33</v>
      </c>
      <c r="E196" s="240" t="s">
        <v>34</v>
      </c>
      <c r="F196" s="233" t="s">
        <v>35</v>
      </c>
      <c r="G196" s="233" t="s">
        <v>121</v>
      </c>
      <c r="H196" s="233"/>
      <c r="I196" s="233" t="s">
        <v>6</v>
      </c>
      <c r="J196" s="234"/>
    </row>
    <row r="197" spans="1:11" s="72" customFormat="1" ht="29.1" customHeight="1">
      <c r="A197" s="237"/>
      <c r="B197" s="238"/>
      <c r="C197" s="238"/>
      <c r="D197" s="239"/>
      <c r="E197" s="240"/>
      <c r="F197" s="233"/>
      <c r="G197" s="92" t="s">
        <v>37</v>
      </c>
      <c r="H197" s="92" t="s">
        <v>38</v>
      </c>
      <c r="I197" s="92" t="s">
        <v>37</v>
      </c>
      <c r="J197" s="144" t="s">
        <v>38</v>
      </c>
    </row>
    <row r="198" spans="1:11" s="72" customFormat="1" ht="25.5">
      <c r="A198" s="121" t="s">
        <v>416</v>
      </c>
      <c r="B198" s="122"/>
      <c r="C198" s="123"/>
      <c r="D198" s="124" t="s">
        <v>417</v>
      </c>
      <c r="E198" s="122"/>
      <c r="F198" s="125"/>
      <c r="G198" s="126"/>
      <c r="H198" s="127" t="str">
        <f>IF(G198="","",ROUND(G198*(1+#REF!),2))</f>
        <v/>
      </c>
      <c r="I198" s="154">
        <f>SUBTOTAL(9,I200:I242)</f>
        <v>35892.567999999999</v>
      </c>
      <c r="J198" s="155">
        <f>SUBTOTAL(9,J200:J242)</f>
        <v>44865.71</v>
      </c>
    </row>
    <row r="199" spans="1:11" s="72" customFormat="1">
      <c r="A199" s="166" t="s">
        <v>418</v>
      </c>
      <c r="B199" s="167"/>
      <c r="C199" s="168"/>
      <c r="D199" s="169" t="s">
        <v>419</v>
      </c>
      <c r="E199" s="167"/>
      <c r="F199" s="170"/>
      <c r="G199" s="171"/>
      <c r="H199" s="134"/>
      <c r="I199" s="193">
        <f>SUBTOTAL(9,I200:I202)</f>
        <v>1011.056</v>
      </c>
      <c r="J199" s="194">
        <f>SUBTOTAL(9,J200:J202)</f>
        <v>1263.82</v>
      </c>
    </row>
    <row r="200" spans="1:11" s="72" customFormat="1" ht="25.5">
      <c r="A200" s="97" t="s">
        <v>420</v>
      </c>
      <c r="B200" s="136" t="s">
        <v>20</v>
      </c>
      <c r="C200" s="136" t="s">
        <v>421</v>
      </c>
      <c r="D200" s="172" t="s">
        <v>422</v>
      </c>
      <c r="E200" s="136" t="s">
        <v>53</v>
      </c>
      <c r="F200" s="136">
        <v>2</v>
      </c>
      <c r="G200" s="103">
        <v>68.48</v>
      </c>
      <c r="H200" s="104">
        <f t="shared" ref="H200:H206" si="29">G200*1.25</f>
        <v>85.6</v>
      </c>
      <c r="I200" s="104">
        <f t="shared" ref="I200:I202" si="30">J200/1.25</f>
        <v>136.96</v>
      </c>
      <c r="J200" s="150">
        <f t="shared" ref="J200:J202" si="31">TRUNC(F200*H200,2)</f>
        <v>171.2</v>
      </c>
      <c r="K200" s="151"/>
    </row>
    <row r="201" spans="1:11" s="72" customFormat="1" ht="25.5">
      <c r="A201" s="97" t="s">
        <v>423</v>
      </c>
      <c r="B201" s="136" t="s">
        <v>22</v>
      </c>
      <c r="C201" s="136">
        <v>101657</v>
      </c>
      <c r="D201" s="172" t="s">
        <v>424</v>
      </c>
      <c r="E201" s="136" t="s">
        <v>53</v>
      </c>
      <c r="F201" s="136">
        <v>2</v>
      </c>
      <c r="G201" s="103">
        <v>398.79</v>
      </c>
      <c r="H201" s="104">
        <f t="shared" si="29"/>
        <v>498.48750000000001</v>
      </c>
      <c r="I201" s="104">
        <f t="shared" si="30"/>
        <v>797.57600000000002</v>
      </c>
      <c r="J201" s="150">
        <f t="shared" si="31"/>
        <v>996.97</v>
      </c>
      <c r="K201" s="151"/>
    </row>
    <row r="202" spans="1:11" s="72" customFormat="1" ht="25.5">
      <c r="A202" s="97" t="s">
        <v>425</v>
      </c>
      <c r="B202" s="136" t="s">
        <v>22</v>
      </c>
      <c r="C202" s="136">
        <v>101632</v>
      </c>
      <c r="D202" s="172" t="s">
        <v>426</v>
      </c>
      <c r="E202" s="136" t="s">
        <v>53</v>
      </c>
      <c r="F202" s="136">
        <v>2</v>
      </c>
      <c r="G202" s="103">
        <v>38.26</v>
      </c>
      <c r="H202" s="104">
        <f t="shared" si="29"/>
        <v>47.825000000000003</v>
      </c>
      <c r="I202" s="104">
        <f t="shared" si="30"/>
        <v>76.52</v>
      </c>
      <c r="J202" s="150">
        <f t="shared" si="31"/>
        <v>95.65</v>
      </c>
      <c r="K202" s="151"/>
    </row>
    <row r="203" spans="1:11" s="72" customFormat="1">
      <c r="A203" s="166" t="s">
        <v>427</v>
      </c>
      <c r="B203" s="167"/>
      <c r="C203" s="168"/>
      <c r="D203" s="169" t="s">
        <v>428</v>
      </c>
      <c r="E203" s="167"/>
      <c r="F203" s="173"/>
      <c r="G203" s="135"/>
      <c r="H203" s="135"/>
      <c r="I203" s="193">
        <f>SUBTOTAL(9,I204:I206)</f>
        <v>2527.64</v>
      </c>
      <c r="J203" s="194">
        <f>SUBTOTAL(9,J204:J206)</f>
        <v>3159.55</v>
      </c>
    </row>
    <row r="204" spans="1:11" s="72" customFormat="1" ht="25.5">
      <c r="A204" s="97" t="s">
        <v>429</v>
      </c>
      <c r="B204" s="136" t="s">
        <v>20</v>
      </c>
      <c r="C204" s="136" t="s">
        <v>421</v>
      </c>
      <c r="D204" s="172" t="s">
        <v>422</v>
      </c>
      <c r="E204" s="136" t="s">
        <v>53</v>
      </c>
      <c r="F204" s="136">
        <v>5</v>
      </c>
      <c r="G204" s="103">
        <v>68.48</v>
      </c>
      <c r="H204" s="104">
        <f t="shared" si="29"/>
        <v>85.6</v>
      </c>
      <c r="I204" s="195">
        <f t="shared" ref="I204:I206" si="32">J204/1.25</f>
        <v>342.4</v>
      </c>
      <c r="J204" s="196">
        <f t="shared" ref="J204:J206" si="33">TRUNC(F204*H204,2)</f>
        <v>428</v>
      </c>
      <c r="K204" s="151"/>
    </row>
    <row r="205" spans="1:11" s="72" customFormat="1" ht="25.5">
      <c r="A205" s="97" t="s">
        <v>430</v>
      </c>
      <c r="B205" s="136" t="s">
        <v>22</v>
      </c>
      <c r="C205" s="136">
        <v>101657</v>
      </c>
      <c r="D205" s="172" t="s">
        <v>424</v>
      </c>
      <c r="E205" s="136" t="s">
        <v>53</v>
      </c>
      <c r="F205" s="136">
        <v>5</v>
      </c>
      <c r="G205" s="103">
        <v>398.79</v>
      </c>
      <c r="H205" s="104">
        <f t="shared" si="29"/>
        <v>498.48750000000001</v>
      </c>
      <c r="I205" s="195">
        <f t="shared" si="32"/>
        <v>1993.944</v>
      </c>
      <c r="J205" s="196">
        <f t="shared" si="33"/>
        <v>2492.4299999999998</v>
      </c>
      <c r="K205" s="151"/>
    </row>
    <row r="206" spans="1:11" s="72" customFormat="1" ht="25.5">
      <c r="A206" s="97" t="s">
        <v>431</v>
      </c>
      <c r="B206" s="136" t="s">
        <v>22</v>
      </c>
      <c r="C206" s="136">
        <v>101632</v>
      </c>
      <c r="D206" s="172" t="s">
        <v>426</v>
      </c>
      <c r="E206" s="136" t="s">
        <v>53</v>
      </c>
      <c r="F206" s="136">
        <v>5</v>
      </c>
      <c r="G206" s="103">
        <v>38.26</v>
      </c>
      <c r="H206" s="104">
        <f t="shared" si="29"/>
        <v>47.825000000000003</v>
      </c>
      <c r="I206" s="195">
        <f t="shared" si="32"/>
        <v>191.29599999999999</v>
      </c>
      <c r="J206" s="196">
        <f t="shared" si="33"/>
        <v>239.12</v>
      </c>
      <c r="K206" s="151"/>
    </row>
    <row r="207" spans="1:11" s="72" customFormat="1">
      <c r="A207" s="166" t="s">
        <v>432</v>
      </c>
      <c r="B207" s="167"/>
      <c r="C207" s="168"/>
      <c r="D207" s="169" t="s">
        <v>433</v>
      </c>
      <c r="E207" s="167"/>
      <c r="F207" s="167"/>
      <c r="G207" s="174"/>
      <c r="H207" s="174"/>
      <c r="I207" s="193">
        <f>SUBTOTAL(9,I208:I210)</f>
        <v>3538.7040000000002</v>
      </c>
      <c r="J207" s="194">
        <f>SUBTOTAL(9,J208:J210)</f>
        <v>4423.38</v>
      </c>
    </row>
    <row r="208" spans="1:11" s="72" customFormat="1" ht="25.5">
      <c r="A208" s="175" t="s">
        <v>434</v>
      </c>
      <c r="B208" s="176" t="s">
        <v>20</v>
      </c>
      <c r="C208" s="176" t="s">
        <v>421</v>
      </c>
      <c r="D208" s="177" t="s">
        <v>422</v>
      </c>
      <c r="E208" s="176" t="s">
        <v>53</v>
      </c>
      <c r="F208" s="176">
        <v>7</v>
      </c>
      <c r="G208" s="103">
        <v>68.48</v>
      </c>
      <c r="H208" s="178">
        <f t="shared" ref="H208:H214" si="34">G208*1.25</f>
        <v>85.6</v>
      </c>
      <c r="I208" s="195">
        <f t="shared" ref="I208:I210" si="35">J208/1.25</f>
        <v>479.36</v>
      </c>
      <c r="J208" s="196">
        <f t="shared" ref="J208:J210" si="36">TRUNC(F208*H208,2)</f>
        <v>599.20000000000005</v>
      </c>
      <c r="K208" s="151"/>
    </row>
    <row r="209" spans="1:11" s="72" customFormat="1" ht="25.5">
      <c r="A209" s="175" t="s">
        <v>435</v>
      </c>
      <c r="B209" s="176" t="s">
        <v>22</v>
      </c>
      <c r="C209" s="176">
        <v>101657</v>
      </c>
      <c r="D209" s="177" t="s">
        <v>424</v>
      </c>
      <c r="E209" s="176" t="s">
        <v>53</v>
      </c>
      <c r="F209" s="176">
        <v>7</v>
      </c>
      <c r="G209" s="103">
        <v>398.79</v>
      </c>
      <c r="H209" s="178">
        <f t="shared" si="34"/>
        <v>498.48750000000001</v>
      </c>
      <c r="I209" s="195">
        <f t="shared" si="35"/>
        <v>2791.5279999999998</v>
      </c>
      <c r="J209" s="196">
        <f t="shared" si="36"/>
        <v>3489.41</v>
      </c>
      <c r="K209" s="151"/>
    </row>
    <row r="210" spans="1:11" s="72" customFormat="1" ht="25.5">
      <c r="A210" s="175" t="s">
        <v>436</v>
      </c>
      <c r="B210" s="176" t="s">
        <v>22</v>
      </c>
      <c r="C210" s="176">
        <v>101632</v>
      </c>
      <c r="D210" s="177" t="s">
        <v>426</v>
      </c>
      <c r="E210" s="176" t="s">
        <v>53</v>
      </c>
      <c r="F210" s="176">
        <v>7</v>
      </c>
      <c r="G210" s="103">
        <v>38.26</v>
      </c>
      <c r="H210" s="178">
        <f t="shared" si="34"/>
        <v>47.825000000000003</v>
      </c>
      <c r="I210" s="195">
        <f t="shared" si="35"/>
        <v>267.81599999999997</v>
      </c>
      <c r="J210" s="196">
        <f t="shared" si="36"/>
        <v>334.77</v>
      </c>
      <c r="K210" s="151"/>
    </row>
    <row r="211" spans="1:11" s="72" customFormat="1">
      <c r="A211" s="166" t="s">
        <v>437</v>
      </c>
      <c r="B211" s="167"/>
      <c r="C211" s="168"/>
      <c r="D211" s="169" t="s">
        <v>438</v>
      </c>
      <c r="E211" s="167"/>
      <c r="F211" s="167"/>
      <c r="G211" s="174"/>
      <c r="H211" s="174"/>
      <c r="I211" s="193">
        <f>SUBTOTAL(9,I212:I214)</f>
        <v>4044.24</v>
      </c>
      <c r="J211" s="194">
        <f>SUBTOTAL(9,J212:J214)</f>
        <v>5055.3</v>
      </c>
    </row>
    <row r="212" spans="1:11" s="72" customFormat="1" ht="25.5">
      <c r="A212" s="175" t="s">
        <v>439</v>
      </c>
      <c r="B212" s="176" t="s">
        <v>20</v>
      </c>
      <c r="C212" s="176" t="s">
        <v>421</v>
      </c>
      <c r="D212" s="177" t="s">
        <v>422</v>
      </c>
      <c r="E212" s="176" t="s">
        <v>53</v>
      </c>
      <c r="F212" s="176">
        <v>8</v>
      </c>
      <c r="G212" s="103">
        <v>68.48</v>
      </c>
      <c r="H212" s="178">
        <f t="shared" si="34"/>
        <v>85.6</v>
      </c>
      <c r="I212" s="195">
        <f t="shared" ref="I212:I214" si="37">J212/1.25</f>
        <v>547.84</v>
      </c>
      <c r="J212" s="196">
        <f t="shared" ref="J212:J214" si="38">TRUNC(F212*H212,2)</f>
        <v>684.8</v>
      </c>
      <c r="K212" s="151"/>
    </row>
    <row r="213" spans="1:11" s="72" customFormat="1" ht="25.5">
      <c r="A213" s="175" t="s">
        <v>440</v>
      </c>
      <c r="B213" s="176" t="s">
        <v>22</v>
      </c>
      <c r="C213" s="176">
        <v>101657</v>
      </c>
      <c r="D213" s="177" t="s">
        <v>424</v>
      </c>
      <c r="E213" s="176" t="s">
        <v>53</v>
      </c>
      <c r="F213" s="176">
        <v>8</v>
      </c>
      <c r="G213" s="103">
        <v>398.79</v>
      </c>
      <c r="H213" s="178">
        <f t="shared" si="34"/>
        <v>498.48750000000001</v>
      </c>
      <c r="I213" s="195">
        <f t="shared" si="37"/>
        <v>3190.32</v>
      </c>
      <c r="J213" s="196">
        <f t="shared" si="38"/>
        <v>3987.9</v>
      </c>
      <c r="K213" s="151"/>
    </row>
    <row r="214" spans="1:11" s="72" customFormat="1" ht="25.5">
      <c r="A214" s="175" t="s">
        <v>441</v>
      </c>
      <c r="B214" s="176" t="s">
        <v>22</v>
      </c>
      <c r="C214" s="176">
        <v>101632</v>
      </c>
      <c r="D214" s="177" t="s">
        <v>426</v>
      </c>
      <c r="E214" s="176" t="s">
        <v>53</v>
      </c>
      <c r="F214" s="176">
        <v>8</v>
      </c>
      <c r="G214" s="103">
        <v>38.26</v>
      </c>
      <c r="H214" s="178">
        <f t="shared" si="34"/>
        <v>47.825000000000003</v>
      </c>
      <c r="I214" s="195">
        <f t="shared" si="37"/>
        <v>306.08</v>
      </c>
      <c r="J214" s="196">
        <f t="shared" si="38"/>
        <v>382.6</v>
      </c>
      <c r="K214" s="151"/>
    </row>
    <row r="215" spans="1:11" s="72" customFormat="1">
      <c r="A215" s="166" t="s">
        <v>442</v>
      </c>
      <c r="B215" s="167"/>
      <c r="C215" s="168"/>
      <c r="D215" s="169" t="s">
        <v>443</v>
      </c>
      <c r="E215" s="167"/>
      <c r="F215" s="167"/>
      <c r="G215" s="174"/>
      <c r="H215" s="174"/>
      <c r="I215" s="193">
        <f>SUBTOTAL(9,I216:I218)</f>
        <v>9605.0640000000003</v>
      </c>
      <c r="J215" s="194">
        <f>SUBTOTAL(9,J216:J218)</f>
        <v>12006.33</v>
      </c>
    </row>
    <row r="216" spans="1:11" s="72" customFormat="1" ht="25.5">
      <c r="A216" s="175" t="s">
        <v>444</v>
      </c>
      <c r="B216" s="176" t="s">
        <v>20</v>
      </c>
      <c r="C216" s="176" t="s">
        <v>421</v>
      </c>
      <c r="D216" s="177" t="s">
        <v>422</v>
      </c>
      <c r="E216" s="176" t="s">
        <v>53</v>
      </c>
      <c r="F216" s="176">
        <v>19</v>
      </c>
      <c r="G216" s="103">
        <v>68.48</v>
      </c>
      <c r="H216" s="178">
        <f t="shared" ref="H216:H222" si="39">G216*1.25</f>
        <v>85.6</v>
      </c>
      <c r="I216" s="195">
        <f t="shared" ref="I216:I218" si="40">J216/1.25</f>
        <v>1301.1199999999999</v>
      </c>
      <c r="J216" s="196">
        <f t="shared" ref="J216:J218" si="41">TRUNC(F216*H216,2)</f>
        <v>1626.4</v>
      </c>
      <c r="K216" s="151"/>
    </row>
    <row r="217" spans="1:11" s="72" customFormat="1" ht="25.5">
      <c r="A217" s="175" t="s">
        <v>445</v>
      </c>
      <c r="B217" s="176" t="s">
        <v>22</v>
      </c>
      <c r="C217" s="176">
        <v>101657</v>
      </c>
      <c r="D217" s="177" t="s">
        <v>424</v>
      </c>
      <c r="E217" s="176" t="s">
        <v>53</v>
      </c>
      <c r="F217" s="176">
        <v>19</v>
      </c>
      <c r="G217" s="103">
        <v>398.79</v>
      </c>
      <c r="H217" s="178">
        <f t="shared" si="39"/>
        <v>498.48750000000001</v>
      </c>
      <c r="I217" s="195">
        <f t="shared" si="40"/>
        <v>7577.0079999999998</v>
      </c>
      <c r="J217" s="196">
        <f t="shared" si="41"/>
        <v>9471.26</v>
      </c>
      <c r="K217" s="151"/>
    </row>
    <row r="218" spans="1:11" s="72" customFormat="1" ht="25.5">
      <c r="A218" s="175" t="s">
        <v>446</v>
      </c>
      <c r="B218" s="176" t="s">
        <v>22</v>
      </c>
      <c r="C218" s="176">
        <v>101632</v>
      </c>
      <c r="D218" s="177" t="s">
        <v>426</v>
      </c>
      <c r="E218" s="176" t="s">
        <v>53</v>
      </c>
      <c r="F218" s="176">
        <v>19</v>
      </c>
      <c r="G218" s="103">
        <v>38.26</v>
      </c>
      <c r="H218" s="178">
        <f t="shared" si="39"/>
        <v>47.825000000000003</v>
      </c>
      <c r="I218" s="195">
        <f t="shared" si="40"/>
        <v>726.93600000000004</v>
      </c>
      <c r="J218" s="196">
        <f t="shared" si="41"/>
        <v>908.67</v>
      </c>
      <c r="K218" s="151"/>
    </row>
    <row r="219" spans="1:11" s="72" customFormat="1">
      <c r="A219" s="166" t="s">
        <v>447</v>
      </c>
      <c r="B219" s="167"/>
      <c r="C219" s="168"/>
      <c r="D219" s="169" t="s">
        <v>448</v>
      </c>
      <c r="E219" s="167"/>
      <c r="F219" s="167"/>
      <c r="G219" s="174"/>
      <c r="H219" s="174"/>
      <c r="I219" s="193">
        <f>SUBTOTAL(9,I220:I222)</f>
        <v>2527.64</v>
      </c>
      <c r="J219" s="194">
        <f>SUBTOTAL(9,J220:J222)</f>
        <v>3159.55</v>
      </c>
    </row>
    <row r="220" spans="1:11" s="72" customFormat="1" ht="25.5">
      <c r="A220" s="175" t="s">
        <v>449</v>
      </c>
      <c r="B220" s="176" t="s">
        <v>20</v>
      </c>
      <c r="C220" s="176" t="s">
        <v>421</v>
      </c>
      <c r="D220" s="177" t="s">
        <v>422</v>
      </c>
      <c r="E220" s="176" t="s">
        <v>53</v>
      </c>
      <c r="F220" s="176">
        <v>5</v>
      </c>
      <c r="G220" s="103">
        <v>68.48</v>
      </c>
      <c r="H220" s="178">
        <f t="shared" si="39"/>
        <v>85.6</v>
      </c>
      <c r="I220" s="195">
        <f t="shared" ref="I220:I222" si="42">J220/1.25</f>
        <v>342.4</v>
      </c>
      <c r="J220" s="196">
        <f t="shared" ref="J220:J222" si="43">TRUNC(F220*H220,2)</f>
        <v>428</v>
      </c>
      <c r="K220" s="151"/>
    </row>
    <row r="221" spans="1:11" s="72" customFormat="1" ht="25.5">
      <c r="A221" s="175" t="s">
        <v>450</v>
      </c>
      <c r="B221" s="176" t="s">
        <v>22</v>
      </c>
      <c r="C221" s="176">
        <v>101657</v>
      </c>
      <c r="D221" s="177" t="s">
        <v>424</v>
      </c>
      <c r="E221" s="176" t="s">
        <v>53</v>
      </c>
      <c r="F221" s="176">
        <v>5</v>
      </c>
      <c r="G221" s="103">
        <v>398.79</v>
      </c>
      <c r="H221" s="178">
        <f t="shared" si="39"/>
        <v>498.48750000000001</v>
      </c>
      <c r="I221" s="195">
        <f t="shared" si="42"/>
        <v>1993.944</v>
      </c>
      <c r="J221" s="196">
        <f t="shared" si="43"/>
        <v>2492.4299999999998</v>
      </c>
      <c r="K221" s="151"/>
    </row>
    <row r="222" spans="1:11" s="72" customFormat="1" ht="25.5">
      <c r="A222" s="175" t="s">
        <v>451</v>
      </c>
      <c r="B222" s="176" t="s">
        <v>22</v>
      </c>
      <c r="C222" s="176">
        <v>101632</v>
      </c>
      <c r="D222" s="177" t="s">
        <v>426</v>
      </c>
      <c r="E222" s="176" t="s">
        <v>53</v>
      </c>
      <c r="F222" s="176">
        <v>5</v>
      </c>
      <c r="G222" s="103">
        <v>38.26</v>
      </c>
      <c r="H222" s="178">
        <f t="shared" si="39"/>
        <v>47.825000000000003</v>
      </c>
      <c r="I222" s="195">
        <f t="shared" si="42"/>
        <v>191.29599999999999</v>
      </c>
      <c r="J222" s="196">
        <f t="shared" si="43"/>
        <v>239.12</v>
      </c>
      <c r="K222" s="151"/>
    </row>
    <row r="223" spans="1:11" s="72" customFormat="1">
      <c r="A223" s="166" t="s">
        <v>452</v>
      </c>
      <c r="B223" s="167"/>
      <c r="C223" s="168"/>
      <c r="D223" s="169" t="s">
        <v>453</v>
      </c>
      <c r="E223" s="167"/>
      <c r="F223" s="167"/>
      <c r="G223" s="174"/>
      <c r="H223" s="174"/>
      <c r="I223" s="193">
        <f>SUBTOTAL(9,I224:I226)</f>
        <v>2527.64</v>
      </c>
      <c r="J223" s="194">
        <f>SUBTOTAL(9,J224:J226)</f>
        <v>3159.55</v>
      </c>
    </row>
    <row r="224" spans="1:11" s="72" customFormat="1" ht="25.5">
      <c r="A224" s="175" t="s">
        <v>454</v>
      </c>
      <c r="B224" s="176" t="s">
        <v>20</v>
      </c>
      <c r="C224" s="176" t="s">
        <v>421</v>
      </c>
      <c r="D224" s="177" t="s">
        <v>422</v>
      </c>
      <c r="E224" s="176" t="s">
        <v>53</v>
      </c>
      <c r="F224" s="176">
        <v>5</v>
      </c>
      <c r="G224" s="103">
        <v>68.48</v>
      </c>
      <c r="H224" s="178">
        <f t="shared" ref="H224:H230" si="44">G224*1.25</f>
        <v>85.6</v>
      </c>
      <c r="I224" s="195">
        <f t="shared" ref="I224:I226" si="45">J224/1.25</f>
        <v>342.4</v>
      </c>
      <c r="J224" s="196">
        <f t="shared" ref="J224:J226" si="46">TRUNC(F224*H224,2)</f>
        <v>428</v>
      </c>
      <c r="K224" s="151"/>
    </row>
    <row r="225" spans="1:11" s="72" customFormat="1" ht="25.5">
      <c r="A225" s="175" t="s">
        <v>455</v>
      </c>
      <c r="B225" s="176" t="s">
        <v>22</v>
      </c>
      <c r="C225" s="176">
        <v>101657</v>
      </c>
      <c r="D225" s="177" t="s">
        <v>424</v>
      </c>
      <c r="E225" s="176" t="s">
        <v>53</v>
      </c>
      <c r="F225" s="176">
        <v>5</v>
      </c>
      <c r="G225" s="103">
        <v>398.79</v>
      </c>
      <c r="H225" s="178">
        <f t="shared" si="44"/>
        <v>498.48750000000001</v>
      </c>
      <c r="I225" s="195">
        <f t="shared" si="45"/>
        <v>1993.944</v>
      </c>
      <c r="J225" s="196">
        <f t="shared" si="46"/>
        <v>2492.4299999999998</v>
      </c>
      <c r="K225" s="151"/>
    </row>
    <row r="226" spans="1:11" s="72" customFormat="1" ht="25.5">
      <c r="A226" s="175" t="s">
        <v>456</v>
      </c>
      <c r="B226" s="176" t="s">
        <v>22</v>
      </c>
      <c r="C226" s="176">
        <v>101632</v>
      </c>
      <c r="D226" s="177" t="s">
        <v>426</v>
      </c>
      <c r="E226" s="176" t="s">
        <v>53</v>
      </c>
      <c r="F226" s="176">
        <v>5</v>
      </c>
      <c r="G226" s="103">
        <v>38.26</v>
      </c>
      <c r="H226" s="178">
        <f t="shared" si="44"/>
        <v>47.825000000000003</v>
      </c>
      <c r="I226" s="195">
        <f t="shared" si="45"/>
        <v>191.29599999999999</v>
      </c>
      <c r="J226" s="196">
        <f t="shared" si="46"/>
        <v>239.12</v>
      </c>
      <c r="K226" s="151"/>
    </row>
    <row r="227" spans="1:11" s="72" customFormat="1">
      <c r="A227" s="166" t="s">
        <v>457</v>
      </c>
      <c r="B227" s="167"/>
      <c r="C227" s="168"/>
      <c r="D227" s="169" t="s">
        <v>458</v>
      </c>
      <c r="E227" s="167"/>
      <c r="F227" s="167"/>
      <c r="G227" s="174"/>
      <c r="H227" s="174"/>
      <c r="I227" s="193">
        <f>SUBTOTAL(9,I228:I230)</f>
        <v>2527.64</v>
      </c>
      <c r="J227" s="194">
        <f>SUBTOTAL(9,J228:J230)</f>
        <v>3159.55</v>
      </c>
    </row>
    <row r="228" spans="1:11" s="72" customFormat="1" ht="25.5">
      <c r="A228" s="175" t="s">
        <v>459</v>
      </c>
      <c r="B228" s="176" t="s">
        <v>20</v>
      </c>
      <c r="C228" s="176" t="s">
        <v>421</v>
      </c>
      <c r="D228" s="177" t="s">
        <v>422</v>
      </c>
      <c r="E228" s="176" t="s">
        <v>53</v>
      </c>
      <c r="F228" s="176">
        <v>5</v>
      </c>
      <c r="G228" s="103">
        <v>68.48</v>
      </c>
      <c r="H228" s="178">
        <f t="shared" si="44"/>
        <v>85.6</v>
      </c>
      <c r="I228" s="195">
        <f t="shared" ref="I228:I230" si="47">J228/1.25</f>
        <v>342.4</v>
      </c>
      <c r="J228" s="196">
        <f t="shared" ref="J228:J230" si="48">TRUNC(F228*H228,2)</f>
        <v>428</v>
      </c>
      <c r="K228" s="151"/>
    </row>
    <row r="229" spans="1:11" s="72" customFormat="1" ht="25.5">
      <c r="A229" s="175" t="s">
        <v>460</v>
      </c>
      <c r="B229" s="176" t="s">
        <v>22</v>
      </c>
      <c r="C229" s="176">
        <v>101657</v>
      </c>
      <c r="D229" s="177" t="s">
        <v>424</v>
      </c>
      <c r="E229" s="176" t="s">
        <v>53</v>
      </c>
      <c r="F229" s="176">
        <v>5</v>
      </c>
      <c r="G229" s="103">
        <v>398.79</v>
      </c>
      <c r="H229" s="178">
        <f t="shared" si="44"/>
        <v>498.48750000000001</v>
      </c>
      <c r="I229" s="195">
        <f t="shared" si="47"/>
        <v>1993.944</v>
      </c>
      <c r="J229" s="196">
        <f t="shared" si="48"/>
        <v>2492.4299999999998</v>
      </c>
      <c r="K229" s="151"/>
    </row>
    <row r="230" spans="1:11" s="72" customFormat="1" ht="25.5">
      <c r="A230" s="175" t="s">
        <v>461</v>
      </c>
      <c r="B230" s="176" t="s">
        <v>22</v>
      </c>
      <c r="C230" s="176">
        <v>101632</v>
      </c>
      <c r="D230" s="177" t="s">
        <v>426</v>
      </c>
      <c r="E230" s="176" t="s">
        <v>53</v>
      </c>
      <c r="F230" s="176">
        <v>5</v>
      </c>
      <c r="G230" s="103">
        <v>38.26</v>
      </c>
      <c r="H230" s="178">
        <f t="shared" si="44"/>
        <v>47.825000000000003</v>
      </c>
      <c r="I230" s="195">
        <f t="shared" si="47"/>
        <v>191.29599999999999</v>
      </c>
      <c r="J230" s="196">
        <f t="shared" si="48"/>
        <v>239.12</v>
      </c>
      <c r="K230" s="151"/>
    </row>
    <row r="231" spans="1:11" s="72" customFormat="1">
      <c r="A231" s="166" t="s">
        <v>462</v>
      </c>
      <c r="B231" s="167"/>
      <c r="C231" s="168"/>
      <c r="D231" s="169" t="s">
        <v>463</v>
      </c>
      <c r="E231" s="167"/>
      <c r="F231" s="167"/>
      <c r="G231" s="174"/>
      <c r="H231" s="174"/>
      <c r="I231" s="193">
        <f>SUBTOTAL(9,I232:I234)</f>
        <v>3538.7040000000002</v>
      </c>
      <c r="J231" s="194">
        <f>SUBTOTAL(9,J232:J234)</f>
        <v>4423.38</v>
      </c>
    </row>
    <row r="232" spans="1:11" s="72" customFormat="1" ht="25.5">
      <c r="A232" s="175" t="s">
        <v>464</v>
      </c>
      <c r="B232" s="176" t="s">
        <v>20</v>
      </c>
      <c r="C232" s="176" t="s">
        <v>421</v>
      </c>
      <c r="D232" s="177" t="s">
        <v>422</v>
      </c>
      <c r="E232" s="176" t="s">
        <v>53</v>
      </c>
      <c r="F232" s="176">
        <v>7</v>
      </c>
      <c r="G232" s="103">
        <v>68.48</v>
      </c>
      <c r="H232" s="178">
        <f t="shared" ref="H232:H238" si="49">G232*1.25</f>
        <v>85.6</v>
      </c>
      <c r="I232" s="195">
        <f t="shared" ref="I232:I234" si="50">J232/1.25</f>
        <v>479.36</v>
      </c>
      <c r="J232" s="196">
        <f t="shared" ref="J232:J234" si="51">TRUNC(F232*H232,2)</f>
        <v>599.20000000000005</v>
      </c>
      <c r="K232" s="151"/>
    </row>
    <row r="233" spans="1:11" s="72" customFormat="1" ht="25.5">
      <c r="A233" s="175" t="s">
        <v>465</v>
      </c>
      <c r="B233" s="176" t="s">
        <v>22</v>
      </c>
      <c r="C233" s="176">
        <v>101657</v>
      </c>
      <c r="D233" s="177" t="s">
        <v>424</v>
      </c>
      <c r="E233" s="176" t="s">
        <v>53</v>
      </c>
      <c r="F233" s="176">
        <v>7</v>
      </c>
      <c r="G233" s="103">
        <v>398.79</v>
      </c>
      <c r="H233" s="178">
        <f t="shared" si="49"/>
        <v>498.48750000000001</v>
      </c>
      <c r="I233" s="195">
        <f t="shared" si="50"/>
        <v>2791.5279999999998</v>
      </c>
      <c r="J233" s="196">
        <f t="shared" si="51"/>
        <v>3489.41</v>
      </c>
      <c r="K233" s="151"/>
    </row>
    <row r="234" spans="1:11" s="72" customFormat="1" ht="25.5">
      <c r="A234" s="175" t="s">
        <v>466</v>
      </c>
      <c r="B234" s="176" t="s">
        <v>22</v>
      </c>
      <c r="C234" s="176">
        <v>101632</v>
      </c>
      <c r="D234" s="177" t="s">
        <v>426</v>
      </c>
      <c r="E234" s="176" t="s">
        <v>53</v>
      </c>
      <c r="F234" s="176">
        <v>7</v>
      </c>
      <c r="G234" s="103">
        <v>38.26</v>
      </c>
      <c r="H234" s="178">
        <f t="shared" si="49"/>
        <v>47.825000000000003</v>
      </c>
      <c r="I234" s="195">
        <f t="shared" si="50"/>
        <v>267.81599999999997</v>
      </c>
      <c r="J234" s="196">
        <f t="shared" si="51"/>
        <v>334.77</v>
      </c>
      <c r="K234" s="151"/>
    </row>
    <row r="235" spans="1:11" s="72" customFormat="1">
      <c r="A235" s="166" t="s">
        <v>467</v>
      </c>
      <c r="B235" s="167"/>
      <c r="C235" s="168"/>
      <c r="D235" s="169" t="s">
        <v>468</v>
      </c>
      <c r="E235" s="167"/>
      <c r="F235" s="167"/>
      <c r="G235" s="174"/>
      <c r="H235" s="174"/>
      <c r="I235" s="193">
        <f>SUBTOTAL(9,I236:I238)</f>
        <v>2022.12</v>
      </c>
      <c r="J235" s="194">
        <f>SUBTOTAL(9,J236:J238)</f>
        <v>2527.65</v>
      </c>
    </row>
    <row r="236" spans="1:11" s="72" customFormat="1" ht="25.5">
      <c r="A236" s="175" t="s">
        <v>469</v>
      </c>
      <c r="B236" s="176" t="s">
        <v>20</v>
      </c>
      <c r="C236" s="176" t="s">
        <v>421</v>
      </c>
      <c r="D236" s="177" t="s">
        <v>422</v>
      </c>
      <c r="E236" s="176" t="s">
        <v>53</v>
      </c>
      <c r="F236" s="176">
        <v>4</v>
      </c>
      <c r="G236" s="103">
        <v>68.48</v>
      </c>
      <c r="H236" s="178">
        <f t="shared" si="49"/>
        <v>85.6</v>
      </c>
      <c r="I236" s="195">
        <f t="shared" ref="I236:I238" si="52">J236/1.25</f>
        <v>273.92</v>
      </c>
      <c r="J236" s="196">
        <f t="shared" ref="J236:J238" si="53">TRUNC(F236*H236,2)</f>
        <v>342.4</v>
      </c>
      <c r="K236" s="151"/>
    </row>
    <row r="237" spans="1:11" s="72" customFormat="1" ht="25.5">
      <c r="A237" s="175" t="s">
        <v>470</v>
      </c>
      <c r="B237" s="176" t="s">
        <v>22</v>
      </c>
      <c r="C237" s="176">
        <v>101657</v>
      </c>
      <c r="D237" s="177" t="s">
        <v>424</v>
      </c>
      <c r="E237" s="176" t="s">
        <v>53</v>
      </c>
      <c r="F237" s="176">
        <v>4</v>
      </c>
      <c r="G237" s="103">
        <v>398.79</v>
      </c>
      <c r="H237" s="178">
        <f t="shared" si="49"/>
        <v>498.48750000000001</v>
      </c>
      <c r="I237" s="195">
        <f t="shared" si="52"/>
        <v>1595.16</v>
      </c>
      <c r="J237" s="196">
        <f t="shared" si="53"/>
        <v>1993.95</v>
      </c>
      <c r="K237" s="151"/>
    </row>
    <row r="238" spans="1:11" s="72" customFormat="1" ht="25.5">
      <c r="A238" s="175" t="s">
        <v>471</v>
      </c>
      <c r="B238" s="176" t="s">
        <v>22</v>
      </c>
      <c r="C238" s="176">
        <v>101632</v>
      </c>
      <c r="D238" s="177" t="s">
        <v>426</v>
      </c>
      <c r="E238" s="176" t="s">
        <v>53</v>
      </c>
      <c r="F238" s="176">
        <v>4</v>
      </c>
      <c r="G238" s="103">
        <v>38.26</v>
      </c>
      <c r="H238" s="178">
        <f t="shared" si="49"/>
        <v>47.825000000000003</v>
      </c>
      <c r="I238" s="195">
        <f t="shared" si="52"/>
        <v>153.04</v>
      </c>
      <c r="J238" s="196">
        <f t="shared" si="53"/>
        <v>191.3</v>
      </c>
      <c r="K238" s="151"/>
    </row>
    <row r="239" spans="1:11" s="72" customFormat="1">
      <c r="A239" s="166" t="s">
        <v>472</v>
      </c>
      <c r="B239" s="167"/>
      <c r="C239" s="168"/>
      <c r="D239" s="169" t="s">
        <v>473</v>
      </c>
      <c r="E239" s="167"/>
      <c r="F239" s="167"/>
      <c r="G239" s="174"/>
      <c r="H239" s="174"/>
      <c r="I239" s="193">
        <f>SUBTOTAL(9,I240:I242)</f>
        <v>2022.12</v>
      </c>
      <c r="J239" s="194">
        <f>SUBTOTAL(9,J240:J242)</f>
        <v>2527.65</v>
      </c>
    </row>
    <row r="240" spans="1:11" s="72" customFormat="1" ht="25.5">
      <c r="A240" s="175" t="s">
        <v>474</v>
      </c>
      <c r="B240" s="176" t="s">
        <v>20</v>
      </c>
      <c r="C240" s="176" t="s">
        <v>421</v>
      </c>
      <c r="D240" s="177" t="s">
        <v>422</v>
      </c>
      <c r="E240" s="176" t="s">
        <v>53</v>
      </c>
      <c r="F240" s="176">
        <v>4</v>
      </c>
      <c r="G240" s="103">
        <v>68.48</v>
      </c>
      <c r="H240" s="178">
        <f t="shared" ref="H240:H242" si="54">G240*1.25</f>
        <v>85.6</v>
      </c>
      <c r="I240" s="195">
        <f t="shared" ref="I240:I242" si="55">J240/1.25</f>
        <v>273.92</v>
      </c>
      <c r="J240" s="196">
        <f t="shared" ref="J240:J242" si="56">TRUNC(F240*H240,2)</f>
        <v>342.4</v>
      </c>
      <c r="K240" s="151"/>
    </row>
    <row r="241" spans="1:15" s="72" customFormat="1" ht="25.5">
      <c r="A241" s="175" t="s">
        <v>475</v>
      </c>
      <c r="B241" s="176" t="s">
        <v>22</v>
      </c>
      <c r="C241" s="176">
        <v>101657</v>
      </c>
      <c r="D241" s="177" t="s">
        <v>424</v>
      </c>
      <c r="E241" s="176" t="s">
        <v>53</v>
      </c>
      <c r="F241" s="176">
        <v>4</v>
      </c>
      <c r="G241" s="103">
        <v>398.79</v>
      </c>
      <c r="H241" s="178">
        <f t="shared" si="54"/>
        <v>498.48750000000001</v>
      </c>
      <c r="I241" s="195">
        <f t="shared" si="55"/>
        <v>1595.16</v>
      </c>
      <c r="J241" s="196">
        <f t="shared" si="56"/>
        <v>1993.95</v>
      </c>
      <c r="K241" s="151"/>
    </row>
    <row r="242" spans="1:15" s="72" customFormat="1" ht="25.5">
      <c r="A242" s="179" t="s">
        <v>476</v>
      </c>
      <c r="B242" s="180" t="s">
        <v>22</v>
      </c>
      <c r="C242" s="180">
        <v>101632</v>
      </c>
      <c r="D242" s="181" t="s">
        <v>426</v>
      </c>
      <c r="E242" s="180" t="s">
        <v>53</v>
      </c>
      <c r="F242" s="180">
        <v>4</v>
      </c>
      <c r="G242" s="164">
        <v>38.26</v>
      </c>
      <c r="H242" s="182">
        <f t="shared" si="54"/>
        <v>47.825000000000003</v>
      </c>
      <c r="I242" s="197">
        <f t="shared" si="55"/>
        <v>153.04</v>
      </c>
      <c r="J242" s="198">
        <f t="shared" si="56"/>
        <v>191.3</v>
      </c>
      <c r="K242" s="151"/>
    </row>
    <row r="243" spans="1:15" ht="3" customHeight="1">
      <c r="A243" s="183"/>
      <c r="B243" s="183"/>
      <c r="C243" s="184"/>
      <c r="D243" s="185"/>
      <c r="E243" s="186"/>
      <c r="F243" s="187"/>
      <c r="G243" s="188"/>
      <c r="H243" s="189"/>
      <c r="I243" s="189"/>
      <c r="J243" s="199"/>
      <c r="M243" s="72"/>
      <c r="N243" s="72"/>
      <c r="O243" s="72"/>
    </row>
    <row r="244" spans="1:15" ht="30" customHeight="1">
      <c r="A244" s="86"/>
      <c r="B244" s="190"/>
      <c r="C244" s="190"/>
      <c r="D244" s="190"/>
      <c r="E244" s="190"/>
      <c r="F244" s="190"/>
      <c r="H244" s="241" t="s">
        <v>6</v>
      </c>
      <c r="I244" s="200" t="s">
        <v>37</v>
      </c>
      <c r="J244" s="201">
        <f>SUBTOTAL(9,I19:I242)</f>
        <v>340953.17599999998</v>
      </c>
      <c r="M244" s="72"/>
      <c r="N244" s="72"/>
      <c r="O244" s="72"/>
    </row>
    <row r="245" spans="1:15" ht="30.95" customHeight="1">
      <c r="H245" s="242"/>
      <c r="I245" s="202" t="s">
        <v>38</v>
      </c>
      <c r="J245" s="203">
        <f>SUBTOTAL(9,J20:J242)</f>
        <v>426191.47000000003</v>
      </c>
      <c r="M245" s="72"/>
      <c r="N245" s="72"/>
      <c r="O245" s="72"/>
    </row>
  </sheetData>
  <mergeCells count="41">
    <mergeCell ref="E196:E197"/>
    <mergeCell ref="F18:F19"/>
    <mergeCell ref="F47:F48"/>
    <mergeCell ref="F196:F197"/>
    <mergeCell ref="H244:H245"/>
    <mergeCell ref="G196:H196"/>
    <mergeCell ref="I196:J196"/>
    <mergeCell ref="A18:A19"/>
    <mergeCell ref="A47:A48"/>
    <mergeCell ref="A196:A197"/>
    <mergeCell ref="B18:B19"/>
    <mergeCell ref="B47:B48"/>
    <mergeCell ref="B196:B197"/>
    <mergeCell ref="C18:C19"/>
    <mergeCell ref="C47:C48"/>
    <mergeCell ref="C196:C197"/>
    <mergeCell ref="D18:D19"/>
    <mergeCell ref="D47:D48"/>
    <mergeCell ref="D196:D197"/>
    <mergeCell ref="E18:E19"/>
    <mergeCell ref="E47:E48"/>
    <mergeCell ref="A46:J46"/>
    <mergeCell ref="G47:H47"/>
    <mergeCell ref="I47:J47"/>
    <mergeCell ref="B49:H49"/>
    <mergeCell ref="B195:H195"/>
    <mergeCell ref="H15:I15"/>
    <mergeCell ref="A17:J17"/>
    <mergeCell ref="G18:H18"/>
    <mergeCell ref="I18:J18"/>
    <mergeCell ref="B20:H20"/>
    <mergeCell ref="H10:J10"/>
    <mergeCell ref="H11:I11"/>
    <mergeCell ref="H12:I12"/>
    <mergeCell ref="H13:I13"/>
    <mergeCell ref="H14:I14"/>
    <mergeCell ref="A1:B1"/>
    <mergeCell ref="A4:J4"/>
    <mergeCell ref="B6:D6"/>
    <mergeCell ref="B7:E7"/>
    <mergeCell ref="B8:D8"/>
  </mergeCells>
  <printOptions horizontalCentered="1"/>
  <pageMargins left="0.25138888888888899" right="0.25138888888888899" top="0.51180555555555596" bottom="0.39305555555555599" header="0.51180555555555596" footer="0.51180555555555596"/>
  <pageSetup paperSize="9" scale="55" firstPageNumber="0" fitToHeight="0" orientation="portrait" useFirstPageNumber="1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7"/>
  <sheetViews>
    <sheetView topLeftCell="A45" zoomScale="85" zoomScaleNormal="85" zoomScaleSheetLayoutView="160" zoomScalePageLayoutView="160" workbookViewId="0">
      <selection activeCell="G53" sqref="G53"/>
    </sheetView>
  </sheetViews>
  <sheetFormatPr defaultColWidth="11.5703125" defaultRowHeight="15"/>
  <cols>
    <col min="2" max="2" width="48.7109375" customWidth="1"/>
    <col min="3" max="3" width="15.28515625" customWidth="1"/>
    <col min="4" max="4" width="20.85546875" customWidth="1"/>
    <col min="5" max="5" width="22" customWidth="1"/>
    <col min="6" max="6" width="20.140625" customWidth="1"/>
    <col min="7" max="7" width="19.5703125" customWidth="1"/>
  </cols>
  <sheetData>
    <row r="1" spans="1:9" ht="16.5">
      <c r="A1" s="250" t="s">
        <v>477</v>
      </c>
      <c r="B1" s="250"/>
      <c r="C1" s="250"/>
      <c r="D1" s="250"/>
      <c r="E1" s="250"/>
      <c r="F1" s="250"/>
      <c r="G1" s="250"/>
      <c r="H1" s="28"/>
      <c r="I1" s="28"/>
    </row>
    <row r="2" spans="1:9" ht="41.1" customHeight="1">
      <c r="A2" s="250"/>
      <c r="B2" s="250"/>
      <c r="C2" s="250"/>
      <c r="D2" s="250"/>
      <c r="E2" s="250"/>
      <c r="F2" s="250"/>
      <c r="G2" s="250"/>
      <c r="H2" s="28"/>
      <c r="I2" s="28"/>
    </row>
    <row r="3" spans="1:9" ht="16.5">
      <c r="A3" s="243" t="s">
        <v>478</v>
      </c>
      <c r="B3" s="243"/>
      <c r="C3" s="243"/>
      <c r="D3" s="243"/>
      <c r="E3" s="243"/>
      <c r="F3" s="27"/>
      <c r="G3" s="27"/>
      <c r="H3" s="28"/>
      <c r="I3" s="28"/>
    </row>
    <row r="4" spans="1:9" ht="16.5">
      <c r="A4" s="30" t="s">
        <v>479</v>
      </c>
      <c r="B4" s="31"/>
      <c r="C4" s="31"/>
      <c r="D4" s="31"/>
      <c r="E4" s="31"/>
      <c r="F4" s="27"/>
      <c r="G4" s="27"/>
      <c r="H4" s="28"/>
      <c r="I4" s="28"/>
    </row>
    <row r="5" spans="1:9" ht="16.5">
      <c r="A5" s="30" t="s">
        <v>480</v>
      </c>
      <c r="B5" s="31"/>
      <c r="C5" s="31"/>
      <c r="D5" s="31"/>
      <c r="E5" s="31"/>
      <c r="F5" s="27"/>
      <c r="G5" s="27"/>
      <c r="H5" s="28"/>
      <c r="I5" s="28"/>
    </row>
    <row r="6" spans="1:9" ht="16.5">
      <c r="A6" s="243" t="s">
        <v>481</v>
      </c>
      <c r="B6" s="243"/>
      <c r="C6" s="243"/>
      <c r="D6" s="243"/>
      <c r="E6" s="243"/>
      <c r="F6" s="27"/>
      <c r="G6" s="27"/>
      <c r="H6" s="28"/>
      <c r="I6" s="28"/>
    </row>
    <row r="7" spans="1:9" ht="16.5">
      <c r="A7" s="29"/>
      <c r="B7" s="29"/>
      <c r="C7" s="29"/>
      <c r="D7" s="29"/>
      <c r="E7" s="29"/>
      <c r="F7" s="32"/>
      <c r="G7" s="32"/>
      <c r="H7" s="28"/>
      <c r="I7" s="28"/>
    </row>
    <row r="8" spans="1:9" ht="24" customHeight="1">
      <c r="A8" s="244" t="s">
        <v>29</v>
      </c>
      <c r="B8" s="245"/>
      <c r="C8" s="245"/>
      <c r="D8" s="245"/>
      <c r="E8" s="245"/>
      <c r="F8" s="245"/>
      <c r="G8" s="246"/>
      <c r="H8" s="28"/>
      <c r="I8" s="28"/>
    </row>
    <row r="9" spans="1:9" ht="16.5">
      <c r="A9" s="251" t="s">
        <v>482</v>
      </c>
      <c r="B9" s="252"/>
      <c r="C9" s="33" t="s">
        <v>483</v>
      </c>
      <c r="D9" s="34">
        <v>1</v>
      </c>
      <c r="E9" s="34">
        <v>2</v>
      </c>
      <c r="F9" s="34">
        <v>3</v>
      </c>
      <c r="G9" s="35" t="s">
        <v>484</v>
      </c>
      <c r="H9" s="28"/>
      <c r="I9" s="28"/>
    </row>
    <row r="10" spans="1:9" ht="16.5">
      <c r="A10" s="251"/>
      <c r="B10" s="253"/>
      <c r="C10" s="36" t="s">
        <v>485</v>
      </c>
      <c r="D10" s="37" t="s">
        <v>486</v>
      </c>
      <c r="E10" s="38" t="s">
        <v>487</v>
      </c>
      <c r="F10" s="38" t="s">
        <v>488</v>
      </c>
      <c r="G10" s="247" t="s">
        <v>489</v>
      </c>
      <c r="H10" s="28"/>
      <c r="I10" s="28"/>
    </row>
    <row r="11" spans="1:9" ht="20.100000000000001" customHeight="1">
      <c r="A11" s="251"/>
      <c r="B11" s="253"/>
      <c r="C11" s="39" t="s">
        <v>490</v>
      </c>
      <c r="D11" s="37" t="s">
        <v>491</v>
      </c>
      <c r="E11" s="37" t="s">
        <v>492</v>
      </c>
      <c r="F11" s="37" t="s">
        <v>493</v>
      </c>
      <c r="G11" s="248"/>
      <c r="H11" s="28"/>
      <c r="I11" s="28"/>
    </row>
    <row r="12" spans="1:9" ht="16.5">
      <c r="A12" s="254"/>
      <c r="B12" s="255"/>
      <c r="C12" s="39" t="s">
        <v>494</v>
      </c>
      <c r="D12" s="37" t="s">
        <v>495</v>
      </c>
      <c r="E12" s="37" t="s">
        <v>496</v>
      </c>
      <c r="F12" s="37" t="s">
        <v>497</v>
      </c>
      <c r="G12" s="249"/>
      <c r="H12" s="28"/>
      <c r="I12" s="28"/>
    </row>
    <row r="13" spans="1:9" ht="33">
      <c r="A13" s="40" t="s">
        <v>30</v>
      </c>
      <c r="B13" s="41" t="s">
        <v>33</v>
      </c>
      <c r="C13" s="41" t="s">
        <v>498</v>
      </c>
      <c r="D13" s="42" t="s">
        <v>499</v>
      </c>
      <c r="E13" s="42" t="s">
        <v>499</v>
      </c>
      <c r="F13" s="42" t="s">
        <v>499</v>
      </c>
      <c r="G13" s="43" t="s">
        <v>500</v>
      </c>
      <c r="H13" s="28"/>
      <c r="I13" s="28"/>
    </row>
    <row r="14" spans="1:9" ht="49.5">
      <c r="A14" s="44">
        <v>1</v>
      </c>
      <c r="B14" s="45" t="s">
        <v>501</v>
      </c>
      <c r="C14" s="46" t="s">
        <v>502</v>
      </c>
      <c r="D14" s="47">
        <v>2490</v>
      </c>
      <c r="E14" s="47">
        <v>2717.97</v>
      </c>
      <c r="F14" s="47">
        <v>2950</v>
      </c>
      <c r="G14" s="48">
        <f>MEDIAN(D14:F14)</f>
        <v>2717.97</v>
      </c>
      <c r="H14" s="49">
        <f>MEDIAN(D14:F14)</f>
        <v>2717.97</v>
      </c>
      <c r="I14" s="28"/>
    </row>
    <row r="15" spans="1:9" ht="6" customHeight="1">
      <c r="A15" s="50"/>
      <c r="B15" s="51"/>
      <c r="C15" s="52"/>
      <c r="D15" s="53"/>
      <c r="E15" s="53"/>
      <c r="F15" s="53"/>
      <c r="G15" s="53"/>
      <c r="H15" s="28"/>
      <c r="I15" s="28"/>
    </row>
    <row r="16" spans="1:9" ht="24.95" customHeight="1">
      <c r="A16" s="244" t="s">
        <v>120</v>
      </c>
      <c r="B16" s="245"/>
      <c r="C16" s="245"/>
      <c r="D16" s="245"/>
      <c r="E16" s="245"/>
      <c r="F16" s="245"/>
      <c r="G16" s="246"/>
      <c r="H16" s="28"/>
      <c r="I16" s="28"/>
    </row>
    <row r="17" spans="1:9" ht="16.5">
      <c r="A17" s="256" t="s">
        <v>503</v>
      </c>
      <c r="B17" s="257"/>
      <c r="C17" s="54" t="s">
        <v>483</v>
      </c>
      <c r="D17" s="54">
        <v>1</v>
      </c>
      <c r="E17" s="54">
        <v>2</v>
      </c>
      <c r="F17" s="54">
        <v>3</v>
      </c>
      <c r="G17" s="55" t="s">
        <v>484</v>
      </c>
      <c r="H17" s="28"/>
      <c r="I17" s="28"/>
    </row>
    <row r="18" spans="1:9" ht="33">
      <c r="A18" s="251"/>
      <c r="B18" s="253"/>
      <c r="C18" s="56" t="s">
        <v>485</v>
      </c>
      <c r="D18" s="38" t="s">
        <v>504</v>
      </c>
      <c r="E18" s="38" t="s">
        <v>505</v>
      </c>
      <c r="F18" s="38" t="s">
        <v>506</v>
      </c>
      <c r="G18" s="247" t="s">
        <v>489</v>
      </c>
      <c r="H18" s="28"/>
      <c r="I18" s="28"/>
    </row>
    <row r="19" spans="1:9" ht="49.5">
      <c r="A19" s="251"/>
      <c r="B19" s="253"/>
      <c r="C19" s="57" t="s">
        <v>490</v>
      </c>
      <c r="D19" s="58" t="s">
        <v>507</v>
      </c>
      <c r="E19" s="58" t="s">
        <v>508</v>
      </c>
      <c r="F19" s="56" t="s">
        <v>509</v>
      </c>
      <c r="G19" s="248"/>
      <c r="H19" s="28"/>
      <c r="I19" s="28"/>
    </row>
    <row r="20" spans="1:9" ht="16.5">
      <c r="A20" s="254"/>
      <c r="B20" s="255"/>
      <c r="C20" s="57" t="s">
        <v>494</v>
      </c>
      <c r="D20" s="37" t="s">
        <v>510</v>
      </c>
      <c r="E20" s="56" t="s">
        <v>511</v>
      </c>
      <c r="F20" s="37" t="s">
        <v>495</v>
      </c>
      <c r="G20" s="249"/>
      <c r="H20" s="28"/>
      <c r="I20" s="28"/>
    </row>
    <row r="21" spans="1:9" ht="33">
      <c r="A21" s="40" t="s">
        <v>30</v>
      </c>
      <c r="B21" s="41" t="s">
        <v>33</v>
      </c>
      <c r="C21" s="41" t="s">
        <v>498</v>
      </c>
      <c r="D21" s="42" t="s">
        <v>499</v>
      </c>
      <c r="E21" s="42" t="s">
        <v>499</v>
      </c>
      <c r="F21" s="42" t="s">
        <v>499</v>
      </c>
      <c r="G21" s="43" t="s">
        <v>500</v>
      </c>
      <c r="H21" s="28"/>
      <c r="I21" s="28"/>
    </row>
    <row r="22" spans="1:9" ht="16.5">
      <c r="A22" s="59">
        <v>2</v>
      </c>
      <c r="B22" s="60" t="s">
        <v>130</v>
      </c>
      <c r="C22" s="61" t="s">
        <v>53</v>
      </c>
      <c r="D22" s="62">
        <v>124</v>
      </c>
      <c r="E22" s="62">
        <v>146.07</v>
      </c>
      <c r="F22" s="62">
        <v>137.19999999999999</v>
      </c>
      <c r="G22" s="63">
        <f>MEDIAN(D22:F22)</f>
        <v>137.19999999999999</v>
      </c>
      <c r="H22" s="28">
        <f t="shared" ref="H22:H81" si="0">MEDIAN(D22:F22)</f>
        <v>137.19999999999999</v>
      </c>
      <c r="I22" s="28"/>
    </row>
    <row r="23" spans="1:9" ht="33">
      <c r="A23" s="59">
        <v>3</v>
      </c>
      <c r="B23" s="60" t="s">
        <v>136</v>
      </c>
      <c r="C23" s="61" t="s">
        <v>53</v>
      </c>
      <c r="D23" s="62">
        <v>42.2</v>
      </c>
      <c r="E23" s="62">
        <v>49.71</v>
      </c>
      <c r="F23" s="62">
        <v>63.7</v>
      </c>
      <c r="G23" s="63">
        <f t="shared" ref="G23:G54" si="1">MEDIAN(D23:F23)</f>
        <v>49.71</v>
      </c>
      <c r="H23" s="28">
        <f t="shared" si="0"/>
        <v>49.71</v>
      </c>
      <c r="I23" s="28"/>
    </row>
    <row r="24" spans="1:9" ht="33">
      <c r="A24" s="59">
        <v>4</v>
      </c>
      <c r="B24" s="60" t="s">
        <v>139</v>
      </c>
      <c r="C24" s="61" t="s">
        <v>53</v>
      </c>
      <c r="D24" s="62">
        <v>53</v>
      </c>
      <c r="E24" s="62">
        <v>62.43</v>
      </c>
      <c r="F24" s="62">
        <v>52.6</v>
      </c>
      <c r="G24" s="63">
        <f t="shared" si="1"/>
        <v>53</v>
      </c>
      <c r="H24" s="28">
        <f t="shared" si="0"/>
        <v>53</v>
      </c>
      <c r="I24" s="28"/>
    </row>
    <row r="25" spans="1:9" ht="16.5">
      <c r="A25" s="59">
        <v>5</v>
      </c>
      <c r="B25" s="60" t="s">
        <v>142</v>
      </c>
      <c r="C25" s="61" t="s">
        <v>53</v>
      </c>
      <c r="D25" s="62">
        <v>5</v>
      </c>
      <c r="E25" s="62">
        <v>5.89</v>
      </c>
      <c r="F25" s="62">
        <v>4.32</v>
      </c>
      <c r="G25" s="63">
        <f t="shared" si="1"/>
        <v>5</v>
      </c>
      <c r="H25" s="28">
        <f t="shared" si="0"/>
        <v>5</v>
      </c>
      <c r="I25" s="28"/>
    </row>
    <row r="26" spans="1:9" ht="16.5">
      <c r="A26" s="59">
        <v>6</v>
      </c>
      <c r="B26" s="60" t="s">
        <v>344</v>
      </c>
      <c r="C26" s="61" t="s">
        <v>53</v>
      </c>
      <c r="D26" s="62">
        <v>5</v>
      </c>
      <c r="E26" s="62">
        <v>5.89</v>
      </c>
      <c r="F26" s="62">
        <v>4.32</v>
      </c>
      <c r="G26" s="63">
        <f t="shared" si="1"/>
        <v>5</v>
      </c>
      <c r="H26" s="28">
        <f t="shared" si="0"/>
        <v>5</v>
      </c>
      <c r="I26" s="28"/>
    </row>
    <row r="27" spans="1:9" ht="16.5">
      <c r="A27" s="59">
        <v>7</v>
      </c>
      <c r="B27" s="60" t="s">
        <v>145</v>
      </c>
      <c r="C27" s="61" t="s">
        <v>53</v>
      </c>
      <c r="D27" s="62">
        <v>6</v>
      </c>
      <c r="E27" s="62">
        <v>7.07</v>
      </c>
      <c r="F27" s="62">
        <v>8.35</v>
      </c>
      <c r="G27" s="63">
        <f t="shared" si="1"/>
        <v>7.07</v>
      </c>
      <c r="H27" s="28">
        <f t="shared" si="0"/>
        <v>7.07</v>
      </c>
      <c r="I27" s="28"/>
    </row>
    <row r="28" spans="1:9" ht="33">
      <c r="A28" s="59">
        <v>8</v>
      </c>
      <c r="B28" s="60" t="s">
        <v>381</v>
      </c>
      <c r="C28" s="61" t="s">
        <v>68</v>
      </c>
      <c r="D28" s="62">
        <v>22</v>
      </c>
      <c r="E28" s="62">
        <v>25.92</v>
      </c>
      <c r="F28" s="62">
        <v>28.7</v>
      </c>
      <c r="G28" s="63">
        <f t="shared" si="1"/>
        <v>25.92</v>
      </c>
      <c r="H28" s="28">
        <f t="shared" si="0"/>
        <v>25.92</v>
      </c>
      <c r="I28" s="28"/>
    </row>
    <row r="29" spans="1:9" ht="33">
      <c r="A29" s="59">
        <v>9</v>
      </c>
      <c r="B29" s="60" t="s">
        <v>151</v>
      </c>
      <c r="C29" s="61" t="s">
        <v>68</v>
      </c>
      <c r="D29" s="62">
        <v>48</v>
      </c>
      <c r="E29" s="62">
        <v>56.54</v>
      </c>
      <c r="F29" s="62">
        <v>59.25</v>
      </c>
      <c r="G29" s="63">
        <f t="shared" si="1"/>
        <v>56.54</v>
      </c>
      <c r="H29" s="28">
        <f t="shared" si="0"/>
        <v>56.54</v>
      </c>
      <c r="I29" s="28"/>
    </row>
    <row r="30" spans="1:9" ht="16.5">
      <c r="A30" s="59">
        <v>10</v>
      </c>
      <c r="B30" s="60" t="s">
        <v>154</v>
      </c>
      <c r="C30" s="61" t="s">
        <v>53</v>
      </c>
      <c r="D30" s="62">
        <v>60</v>
      </c>
      <c r="E30" s="62">
        <v>70.680000000000007</v>
      </c>
      <c r="F30" s="62">
        <v>67.8</v>
      </c>
      <c r="G30" s="63">
        <f t="shared" si="1"/>
        <v>67.8</v>
      </c>
      <c r="H30" s="28">
        <f t="shared" si="0"/>
        <v>67.8</v>
      </c>
      <c r="I30" s="28"/>
    </row>
    <row r="31" spans="1:9" ht="16.5">
      <c r="A31" s="59">
        <v>11</v>
      </c>
      <c r="B31" s="60" t="s">
        <v>157</v>
      </c>
      <c r="C31" s="61" t="s">
        <v>53</v>
      </c>
      <c r="D31" s="62">
        <v>70</v>
      </c>
      <c r="E31" s="62">
        <v>82.46</v>
      </c>
      <c r="F31" s="62">
        <v>93.15</v>
      </c>
      <c r="G31" s="63">
        <f t="shared" si="1"/>
        <v>82.46</v>
      </c>
      <c r="H31" s="28">
        <f t="shared" si="0"/>
        <v>82.46</v>
      </c>
      <c r="I31" s="28"/>
    </row>
    <row r="32" spans="1:9" ht="16.5">
      <c r="A32" s="59">
        <v>12</v>
      </c>
      <c r="B32" s="60" t="s">
        <v>160</v>
      </c>
      <c r="C32" s="61" t="s">
        <v>53</v>
      </c>
      <c r="D32" s="62">
        <v>80</v>
      </c>
      <c r="E32" s="62">
        <v>94.24</v>
      </c>
      <c r="F32" s="62">
        <v>97.05</v>
      </c>
      <c r="G32" s="63">
        <f t="shared" si="1"/>
        <v>94.24</v>
      </c>
      <c r="H32" s="28">
        <f t="shared" si="0"/>
        <v>94.24</v>
      </c>
      <c r="I32" s="28"/>
    </row>
    <row r="33" spans="1:9" ht="16.5">
      <c r="A33" s="59">
        <v>13</v>
      </c>
      <c r="B33" s="60" t="s">
        <v>388</v>
      </c>
      <c r="C33" s="61" t="s">
        <v>53</v>
      </c>
      <c r="D33" s="62">
        <v>90</v>
      </c>
      <c r="E33" s="62">
        <v>106.02</v>
      </c>
      <c r="F33" s="62">
        <v>109.5</v>
      </c>
      <c r="G33" s="63">
        <f t="shared" si="1"/>
        <v>106.02</v>
      </c>
      <c r="H33" s="28">
        <f t="shared" si="0"/>
        <v>106.02</v>
      </c>
      <c r="I33" s="28"/>
    </row>
    <row r="34" spans="1:9" ht="16.5">
      <c r="A34" s="59">
        <v>14</v>
      </c>
      <c r="B34" s="60" t="s">
        <v>391</v>
      </c>
      <c r="C34" s="61" t="s">
        <v>53</v>
      </c>
      <c r="D34" s="62">
        <v>100</v>
      </c>
      <c r="E34" s="62">
        <v>117.8</v>
      </c>
      <c r="F34" s="62">
        <v>115.2</v>
      </c>
      <c r="G34" s="63">
        <f t="shared" si="1"/>
        <v>115.2</v>
      </c>
      <c r="H34" s="28">
        <f t="shared" si="0"/>
        <v>115.2</v>
      </c>
      <c r="I34" s="28"/>
    </row>
    <row r="35" spans="1:9" ht="16.5">
      <c r="A35" s="59">
        <v>15</v>
      </c>
      <c r="B35" s="60" t="s">
        <v>221</v>
      </c>
      <c r="C35" s="61" t="s">
        <v>53</v>
      </c>
      <c r="D35" s="62">
        <v>120</v>
      </c>
      <c r="E35" s="62">
        <v>141.36000000000001</v>
      </c>
      <c r="F35" s="62">
        <v>160.27000000000001</v>
      </c>
      <c r="G35" s="63">
        <f t="shared" si="1"/>
        <v>141.36000000000001</v>
      </c>
      <c r="H35" s="28">
        <f t="shared" si="0"/>
        <v>141.36000000000001</v>
      </c>
      <c r="I35" s="28"/>
    </row>
    <row r="36" spans="1:9" ht="16.5">
      <c r="A36" s="59">
        <v>16</v>
      </c>
      <c r="B36" s="60" t="s">
        <v>353</v>
      </c>
      <c r="C36" s="61" t="s">
        <v>53</v>
      </c>
      <c r="D36" s="62">
        <v>130</v>
      </c>
      <c r="E36" s="62">
        <v>153.13999999999999</v>
      </c>
      <c r="F36" s="62">
        <v>139.9</v>
      </c>
      <c r="G36" s="63">
        <f t="shared" si="1"/>
        <v>139.9</v>
      </c>
      <c r="H36" s="28">
        <f t="shared" si="0"/>
        <v>139.9</v>
      </c>
      <c r="I36" s="28"/>
    </row>
    <row r="37" spans="1:9" ht="33">
      <c r="A37" s="59">
        <v>17</v>
      </c>
      <c r="B37" s="60" t="s">
        <v>163</v>
      </c>
      <c r="C37" s="61" t="s">
        <v>53</v>
      </c>
      <c r="D37" s="62">
        <v>15</v>
      </c>
      <c r="E37" s="62">
        <v>17.670000000000002</v>
      </c>
      <c r="F37" s="62">
        <v>17.2</v>
      </c>
      <c r="G37" s="63">
        <f t="shared" si="1"/>
        <v>17.2</v>
      </c>
      <c r="H37" s="28">
        <f t="shared" si="0"/>
        <v>17.2</v>
      </c>
      <c r="I37" s="28"/>
    </row>
    <row r="38" spans="1:9" ht="33">
      <c r="A38" s="59">
        <v>18</v>
      </c>
      <c r="B38" s="60" t="s">
        <v>394</v>
      </c>
      <c r="C38" s="61" t="s">
        <v>53</v>
      </c>
      <c r="D38" s="62">
        <v>35</v>
      </c>
      <c r="E38" s="62">
        <v>41.23</v>
      </c>
      <c r="F38" s="62">
        <v>38.5</v>
      </c>
      <c r="G38" s="63">
        <f t="shared" si="1"/>
        <v>38.5</v>
      </c>
      <c r="H38" s="28">
        <f t="shared" si="0"/>
        <v>38.5</v>
      </c>
      <c r="I38" s="28"/>
    </row>
    <row r="39" spans="1:9" ht="33">
      <c r="A39" s="59">
        <v>19</v>
      </c>
      <c r="B39" s="60" t="s">
        <v>225</v>
      </c>
      <c r="C39" s="61" t="s">
        <v>53</v>
      </c>
      <c r="D39" s="62">
        <v>45</v>
      </c>
      <c r="E39" s="62">
        <v>53.01</v>
      </c>
      <c r="F39" s="62">
        <v>43.2</v>
      </c>
      <c r="G39" s="63">
        <f t="shared" si="1"/>
        <v>45</v>
      </c>
      <c r="H39" s="28">
        <f t="shared" si="0"/>
        <v>45</v>
      </c>
      <c r="I39" s="28"/>
    </row>
    <row r="40" spans="1:9" ht="33">
      <c r="A40" s="59">
        <v>20</v>
      </c>
      <c r="B40" s="60" t="s">
        <v>228</v>
      </c>
      <c r="C40" s="61" t="s">
        <v>53</v>
      </c>
      <c r="D40" s="62">
        <v>50</v>
      </c>
      <c r="E40" s="62">
        <v>58.9</v>
      </c>
      <c r="F40" s="62">
        <v>48.7</v>
      </c>
      <c r="G40" s="63">
        <f t="shared" si="1"/>
        <v>50</v>
      </c>
      <c r="H40" s="28">
        <f t="shared" si="0"/>
        <v>50</v>
      </c>
      <c r="I40" s="28"/>
    </row>
    <row r="41" spans="1:9" ht="33">
      <c r="A41" s="59">
        <v>21</v>
      </c>
      <c r="B41" s="60" t="s">
        <v>166</v>
      </c>
      <c r="C41" s="61" t="s">
        <v>53</v>
      </c>
      <c r="D41" s="62">
        <v>42</v>
      </c>
      <c r="E41" s="62">
        <v>49.48</v>
      </c>
      <c r="F41" s="62">
        <v>53.2</v>
      </c>
      <c r="G41" s="63">
        <f t="shared" si="1"/>
        <v>49.48</v>
      </c>
      <c r="H41" s="28">
        <f t="shared" si="0"/>
        <v>49.48</v>
      </c>
      <c r="I41" s="28"/>
    </row>
    <row r="42" spans="1:9" ht="33">
      <c r="A42" s="59">
        <v>22</v>
      </c>
      <c r="B42" s="60" t="s">
        <v>232</v>
      </c>
      <c r="C42" s="61" t="s">
        <v>233</v>
      </c>
      <c r="D42" s="62">
        <v>25</v>
      </c>
      <c r="E42" s="62">
        <v>29.45</v>
      </c>
      <c r="F42" s="62">
        <v>18.899999999999999</v>
      </c>
      <c r="G42" s="63">
        <f t="shared" si="1"/>
        <v>25</v>
      </c>
      <c r="H42" s="28">
        <f t="shared" si="0"/>
        <v>25</v>
      </c>
      <c r="I42" s="28"/>
    </row>
    <row r="43" spans="1:9" ht="33">
      <c r="A43" s="59">
        <v>23</v>
      </c>
      <c r="B43" s="60" t="s">
        <v>236</v>
      </c>
      <c r="C43" s="61" t="s">
        <v>233</v>
      </c>
      <c r="D43" s="62">
        <v>45</v>
      </c>
      <c r="E43" s="62">
        <v>53.01</v>
      </c>
      <c r="F43" s="62">
        <v>46.2</v>
      </c>
      <c r="G43" s="63">
        <f t="shared" si="1"/>
        <v>46.2</v>
      </c>
      <c r="H43" s="28">
        <f t="shared" si="0"/>
        <v>46.2</v>
      </c>
      <c r="I43" s="28"/>
    </row>
    <row r="44" spans="1:9" ht="33">
      <c r="A44" s="59">
        <v>24</v>
      </c>
      <c r="B44" s="60" t="s">
        <v>169</v>
      </c>
      <c r="C44" s="61" t="s">
        <v>53</v>
      </c>
      <c r="D44" s="62">
        <v>120</v>
      </c>
      <c r="E44" s="62">
        <v>141.36000000000001</v>
      </c>
      <c r="F44" s="62">
        <v>133.69999999999999</v>
      </c>
      <c r="G44" s="63">
        <f t="shared" si="1"/>
        <v>133.69999999999999</v>
      </c>
      <c r="H44" s="28">
        <f t="shared" si="0"/>
        <v>133.69999999999999</v>
      </c>
      <c r="I44" s="28"/>
    </row>
    <row r="45" spans="1:9" ht="33">
      <c r="A45" s="59">
        <v>25</v>
      </c>
      <c r="B45" s="60" t="s">
        <v>172</v>
      </c>
      <c r="C45" s="61" t="s">
        <v>53</v>
      </c>
      <c r="D45" s="62">
        <v>300</v>
      </c>
      <c r="E45" s="62">
        <v>353.4</v>
      </c>
      <c r="F45" s="62">
        <v>371.2</v>
      </c>
      <c r="G45" s="63">
        <f t="shared" si="1"/>
        <v>353.4</v>
      </c>
      <c r="H45" s="28">
        <f t="shared" si="0"/>
        <v>353.4</v>
      </c>
      <c r="I45" s="28"/>
    </row>
    <row r="46" spans="1:9" ht="33">
      <c r="A46" s="59">
        <v>26</v>
      </c>
      <c r="B46" s="60" t="s">
        <v>175</v>
      </c>
      <c r="C46" s="61" t="s">
        <v>53</v>
      </c>
      <c r="D46" s="62">
        <v>20</v>
      </c>
      <c r="E46" s="62">
        <v>23.56</v>
      </c>
      <c r="F46" s="62">
        <v>21.3</v>
      </c>
      <c r="G46" s="63">
        <f t="shared" si="1"/>
        <v>21.3</v>
      </c>
      <c r="H46" s="28">
        <f t="shared" si="0"/>
        <v>21.3</v>
      </c>
      <c r="I46" s="28"/>
    </row>
    <row r="47" spans="1:9" ht="33">
      <c r="A47" s="59">
        <v>27</v>
      </c>
      <c r="B47" s="60" t="s">
        <v>178</v>
      </c>
      <c r="C47" s="61" t="s">
        <v>53</v>
      </c>
      <c r="D47" s="62">
        <v>25</v>
      </c>
      <c r="E47" s="62">
        <v>29.45</v>
      </c>
      <c r="F47" s="62">
        <v>26</v>
      </c>
      <c r="G47" s="63">
        <f t="shared" si="1"/>
        <v>26</v>
      </c>
      <c r="H47" s="28">
        <f t="shared" si="0"/>
        <v>26</v>
      </c>
      <c r="I47" s="28"/>
    </row>
    <row r="48" spans="1:9" ht="33">
      <c r="A48" s="59">
        <v>28</v>
      </c>
      <c r="B48" s="60" t="s">
        <v>181</v>
      </c>
      <c r="C48" s="61" t="s">
        <v>53</v>
      </c>
      <c r="D48" s="62">
        <v>50</v>
      </c>
      <c r="E48" s="62">
        <v>58.9</v>
      </c>
      <c r="F48" s="62">
        <v>48.9</v>
      </c>
      <c r="G48" s="63">
        <f t="shared" si="1"/>
        <v>50</v>
      </c>
      <c r="H48" s="28">
        <f t="shared" si="0"/>
        <v>50</v>
      </c>
      <c r="I48" s="28"/>
    </row>
    <row r="49" spans="1:9" ht="33">
      <c r="A49" s="59">
        <v>29</v>
      </c>
      <c r="B49" s="60" t="s">
        <v>363</v>
      </c>
      <c r="C49" s="61" t="s">
        <v>53</v>
      </c>
      <c r="D49" s="62">
        <v>35</v>
      </c>
      <c r="E49" s="62">
        <v>41.23</v>
      </c>
      <c r="F49" s="62">
        <v>42.2</v>
      </c>
      <c r="G49" s="63">
        <f t="shared" si="1"/>
        <v>41.23</v>
      </c>
      <c r="H49" s="28">
        <f t="shared" si="0"/>
        <v>41.23</v>
      </c>
      <c r="I49" s="28"/>
    </row>
    <row r="50" spans="1:9" ht="16.5">
      <c r="A50" s="59">
        <v>30</v>
      </c>
      <c r="B50" s="60" t="s">
        <v>184</v>
      </c>
      <c r="C50" s="61" t="s">
        <v>53</v>
      </c>
      <c r="D50" s="62">
        <v>15</v>
      </c>
      <c r="E50" s="62">
        <v>17.670000000000002</v>
      </c>
      <c r="F50" s="62">
        <v>16.739999999999998</v>
      </c>
      <c r="G50" s="63">
        <f t="shared" si="1"/>
        <v>16.739999999999998</v>
      </c>
      <c r="H50" s="28">
        <f t="shared" si="0"/>
        <v>16.739999999999998</v>
      </c>
      <c r="I50" s="28"/>
    </row>
    <row r="51" spans="1:9" ht="33">
      <c r="A51" s="59">
        <v>31</v>
      </c>
      <c r="B51" s="60" t="s">
        <v>408</v>
      </c>
      <c r="C51" s="61" t="s">
        <v>53</v>
      </c>
      <c r="D51" s="62">
        <v>24</v>
      </c>
      <c r="E51" s="62">
        <v>28.27</v>
      </c>
      <c r="F51" s="62">
        <v>29.12</v>
      </c>
      <c r="G51" s="63">
        <f t="shared" si="1"/>
        <v>28.27</v>
      </c>
      <c r="H51" s="28">
        <f t="shared" si="0"/>
        <v>28.27</v>
      </c>
      <c r="I51" s="28"/>
    </row>
    <row r="52" spans="1:9" ht="33">
      <c r="A52" s="59">
        <v>32</v>
      </c>
      <c r="B52" s="60" t="s">
        <v>194</v>
      </c>
      <c r="C52" s="61" t="s">
        <v>53</v>
      </c>
      <c r="D52" s="62">
        <v>200</v>
      </c>
      <c r="E52" s="62">
        <v>235.6</v>
      </c>
      <c r="F52" s="62">
        <v>230.8</v>
      </c>
      <c r="G52" s="63">
        <f t="shared" si="1"/>
        <v>230.8</v>
      </c>
      <c r="H52" s="28">
        <f t="shared" si="0"/>
        <v>230.8</v>
      </c>
      <c r="I52" s="28"/>
    </row>
    <row r="53" spans="1:9" ht="33">
      <c r="A53" s="59">
        <v>33</v>
      </c>
      <c r="B53" s="60" t="s">
        <v>200</v>
      </c>
      <c r="C53" s="61" t="s">
        <v>53</v>
      </c>
      <c r="D53" s="62">
        <v>500</v>
      </c>
      <c r="E53" s="62">
        <v>589</v>
      </c>
      <c r="F53" s="62">
        <v>601.12</v>
      </c>
      <c r="G53" s="63">
        <f t="shared" si="1"/>
        <v>589</v>
      </c>
      <c r="H53" s="28">
        <f t="shared" si="0"/>
        <v>589</v>
      </c>
      <c r="I53" s="28"/>
    </row>
    <row r="54" spans="1:9" ht="33">
      <c r="A54" s="59">
        <v>34</v>
      </c>
      <c r="B54" s="60" t="s">
        <v>207</v>
      </c>
      <c r="C54" s="61" t="s">
        <v>53</v>
      </c>
      <c r="D54" s="62">
        <v>700</v>
      </c>
      <c r="E54" s="62">
        <v>824.6</v>
      </c>
      <c r="F54" s="62">
        <v>784.54</v>
      </c>
      <c r="G54" s="63">
        <f t="shared" si="1"/>
        <v>784.54</v>
      </c>
      <c r="H54" s="28">
        <f t="shared" si="0"/>
        <v>784.54</v>
      </c>
      <c r="I54" s="28"/>
    </row>
    <row r="55" spans="1:9" ht="33">
      <c r="A55" s="59">
        <v>35</v>
      </c>
      <c r="B55" s="60" t="s">
        <v>256</v>
      </c>
      <c r="C55" s="61" t="s">
        <v>53</v>
      </c>
      <c r="D55" s="62">
        <v>90</v>
      </c>
      <c r="E55" s="62">
        <v>106.02</v>
      </c>
      <c r="F55" s="62">
        <v>97.6</v>
      </c>
      <c r="G55" s="63">
        <f t="shared" ref="G55:G81" si="2">MEDIAN(D55:F55)</f>
        <v>97.6</v>
      </c>
      <c r="H55" s="28">
        <f t="shared" si="0"/>
        <v>97.6</v>
      </c>
      <c r="I55" s="28"/>
    </row>
    <row r="56" spans="1:9" ht="33">
      <c r="A56" s="59">
        <v>36</v>
      </c>
      <c r="B56" s="60" t="s">
        <v>259</v>
      </c>
      <c r="C56" s="61" t="s">
        <v>53</v>
      </c>
      <c r="D56" s="62">
        <v>60</v>
      </c>
      <c r="E56" s="62">
        <v>70.680000000000007</v>
      </c>
      <c r="F56" s="62">
        <v>73.2</v>
      </c>
      <c r="G56" s="63">
        <f t="shared" si="2"/>
        <v>70.680000000000007</v>
      </c>
      <c r="H56" s="28">
        <f t="shared" si="0"/>
        <v>70.680000000000007</v>
      </c>
      <c r="I56" s="28"/>
    </row>
    <row r="57" spans="1:9" ht="33">
      <c r="A57" s="59">
        <v>37</v>
      </c>
      <c r="B57" s="60" t="s">
        <v>262</v>
      </c>
      <c r="C57" s="61" t="s">
        <v>53</v>
      </c>
      <c r="D57" s="62">
        <v>1000</v>
      </c>
      <c r="E57" s="62">
        <v>1178</v>
      </c>
      <c r="F57" s="62">
        <v>1224.7</v>
      </c>
      <c r="G57" s="63">
        <f t="shared" si="2"/>
        <v>1178</v>
      </c>
      <c r="H57" s="28">
        <f t="shared" si="0"/>
        <v>1178</v>
      </c>
      <c r="I57" s="28"/>
    </row>
    <row r="58" spans="1:9" ht="33">
      <c r="A58" s="59">
        <v>38</v>
      </c>
      <c r="B58" s="60" t="s">
        <v>265</v>
      </c>
      <c r="C58" s="61" t="s">
        <v>53</v>
      </c>
      <c r="D58" s="62">
        <v>97</v>
      </c>
      <c r="E58" s="62">
        <v>114.27</v>
      </c>
      <c r="F58" s="62">
        <v>98.3</v>
      </c>
      <c r="G58" s="63">
        <f t="shared" si="2"/>
        <v>98.3</v>
      </c>
      <c r="H58" s="28">
        <f t="shared" si="0"/>
        <v>98.3</v>
      </c>
      <c r="I58" s="28"/>
    </row>
    <row r="59" spans="1:9" ht="16.5">
      <c r="A59" s="59">
        <v>39</v>
      </c>
      <c r="B59" s="60" t="s">
        <v>268</v>
      </c>
      <c r="C59" s="61" t="s">
        <v>53</v>
      </c>
      <c r="D59" s="62">
        <v>95</v>
      </c>
      <c r="E59" s="62">
        <v>111.91</v>
      </c>
      <c r="F59" s="62">
        <v>96.2</v>
      </c>
      <c r="G59" s="63">
        <f t="shared" si="2"/>
        <v>96.2</v>
      </c>
      <c r="H59" s="28">
        <f t="shared" si="0"/>
        <v>96.2</v>
      </c>
      <c r="I59" s="28"/>
    </row>
    <row r="60" spans="1:9" ht="16.5">
      <c r="A60" s="59">
        <v>40</v>
      </c>
      <c r="B60" s="60" t="s">
        <v>271</v>
      </c>
      <c r="C60" s="61" t="s">
        <v>53</v>
      </c>
      <c r="D60" s="62">
        <v>118</v>
      </c>
      <c r="E60" s="62">
        <v>139</v>
      </c>
      <c r="F60" s="62">
        <v>143.15</v>
      </c>
      <c r="G60" s="63">
        <f t="shared" si="2"/>
        <v>139</v>
      </c>
      <c r="H60" s="28">
        <f t="shared" si="0"/>
        <v>139</v>
      </c>
      <c r="I60" s="28"/>
    </row>
    <row r="61" spans="1:9" ht="16.5">
      <c r="A61" s="59">
        <v>41</v>
      </c>
      <c r="B61" s="60" t="s">
        <v>274</v>
      </c>
      <c r="C61" s="61" t="s">
        <v>53</v>
      </c>
      <c r="D61" s="62">
        <v>89</v>
      </c>
      <c r="E61" s="62">
        <v>104.84</v>
      </c>
      <c r="F61" s="62">
        <v>97.9</v>
      </c>
      <c r="G61" s="63">
        <f t="shared" si="2"/>
        <v>97.9</v>
      </c>
      <c r="H61" s="28">
        <f t="shared" si="0"/>
        <v>97.9</v>
      </c>
      <c r="I61" s="28"/>
    </row>
    <row r="62" spans="1:9" ht="33">
      <c r="A62" s="59">
        <v>42</v>
      </c>
      <c r="B62" s="60" t="s">
        <v>277</v>
      </c>
      <c r="C62" s="61" t="s">
        <v>53</v>
      </c>
      <c r="D62" s="62">
        <v>55</v>
      </c>
      <c r="E62" s="62">
        <v>64.790000000000006</v>
      </c>
      <c r="F62" s="62">
        <v>57.2</v>
      </c>
      <c r="G62" s="63">
        <f t="shared" si="2"/>
        <v>57.2</v>
      </c>
      <c r="H62" s="28">
        <f t="shared" si="0"/>
        <v>57.2</v>
      </c>
      <c r="I62" s="28"/>
    </row>
    <row r="63" spans="1:9" ht="33">
      <c r="A63" s="59">
        <v>43</v>
      </c>
      <c r="B63" s="60" t="s">
        <v>280</v>
      </c>
      <c r="C63" s="61" t="s">
        <v>53</v>
      </c>
      <c r="D63" s="62">
        <v>170</v>
      </c>
      <c r="E63" s="62">
        <v>200.26</v>
      </c>
      <c r="F63" s="62">
        <v>189.9</v>
      </c>
      <c r="G63" s="63">
        <f t="shared" si="2"/>
        <v>189.9</v>
      </c>
      <c r="H63" s="28">
        <f t="shared" si="0"/>
        <v>189.9</v>
      </c>
      <c r="I63" s="28"/>
    </row>
    <row r="64" spans="1:9" ht="33">
      <c r="A64" s="59">
        <v>44</v>
      </c>
      <c r="B64" s="60" t="s">
        <v>283</v>
      </c>
      <c r="C64" s="61" t="s">
        <v>53</v>
      </c>
      <c r="D64" s="62">
        <v>190</v>
      </c>
      <c r="E64" s="62">
        <v>223.82</v>
      </c>
      <c r="F64" s="62">
        <v>237.15</v>
      </c>
      <c r="G64" s="63">
        <f t="shared" si="2"/>
        <v>223.82</v>
      </c>
      <c r="H64" s="28">
        <f t="shared" si="0"/>
        <v>223.82</v>
      </c>
      <c r="I64" s="28"/>
    </row>
    <row r="65" spans="1:9" ht="33">
      <c r="A65" s="59">
        <v>45</v>
      </c>
      <c r="B65" s="60" t="s">
        <v>286</v>
      </c>
      <c r="C65" s="61" t="s">
        <v>53</v>
      </c>
      <c r="D65" s="62">
        <v>220</v>
      </c>
      <c r="E65" s="62">
        <v>259.16000000000003</v>
      </c>
      <c r="F65" s="62">
        <v>273.18</v>
      </c>
      <c r="G65" s="63">
        <f t="shared" si="2"/>
        <v>259.16000000000003</v>
      </c>
      <c r="H65" s="28">
        <f t="shared" si="0"/>
        <v>259.16000000000003</v>
      </c>
      <c r="I65" s="28"/>
    </row>
    <row r="66" spans="1:9" ht="33">
      <c r="A66" s="59">
        <v>46</v>
      </c>
      <c r="B66" s="60" t="s">
        <v>289</v>
      </c>
      <c r="C66" s="61" t="s">
        <v>53</v>
      </c>
      <c r="D66" s="62">
        <v>82</v>
      </c>
      <c r="E66" s="62">
        <v>96.6</v>
      </c>
      <c r="F66" s="62">
        <v>103.2</v>
      </c>
      <c r="G66" s="63">
        <f t="shared" si="2"/>
        <v>96.6</v>
      </c>
      <c r="H66" s="28">
        <f t="shared" si="0"/>
        <v>96.6</v>
      </c>
      <c r="I66" s="28"/>
    </row>
    <row r="67" spans="1:9" ht="16.5">
      <c r="A67" s="59">
        <v>47</v>
      </c>
      <c r="B67" s="60" t="s">
        <v>292</v>
      </c>
      <c r="C67" s="61" t="s">
        <v>53</v>
      </c>
      <c r="D67" s="62">
        <v>73</v>
      </c>
      <c r="E67" s="62">
        <v>85.99</v>
      </c>
      <c r="F67" s="62">
        <v>83.2</v>
      </c>
      <c r="G67" s="63">
        <f t="shared" si="2"/>
        <v>83.2</v>
      </c>
      <c r="H67" s="28">
        <f t="shared" si="0"/>
        <v>83.2</v>
      </c>
      <c r="I67" s="28"/>
    </row>
    <row r="68" spans="1:9" ht="16.5">
      <c r="A68" s="59">
        <v>48</v>
      </c>
      <c r="B68" s="60" t="s">
        <v>295</v>
      </c>
      <c r="C68" s="61" t="s">
        <v>53</v>
      </c>
      <c r="D68" s="62">
        <v>78</v>
      </c>
      <c r="E68" s="62">
        <v>91.88</v>
      </c>
      <c r="F68" s="62">
        <v>112.13</v>
      </c>
      <c r="G68" s="63">
        <f t="shared" si="2"/>
        <v>91.88</v>
      </c>
      <c r="H68" s="28">
        <f t="shared" si="0"/>
        <v>91.88</v>
      </c>
      <c r="I68" s="28"/>
    </row>
    <row r="69" spans="1:9" ht="33">
      <c r="A69" s="59">
        <v>49</v>
      </c>
      <c r="B69" s="60" t="s">
        <v>298</v>
      </c>
      <c r="C69" s="61" t="s">
        <v>53</v>
      </c>
      <c r="D69" s="62">
        <v>45</v>
      </c>
      <c r="E69" s="62">
        <v>53.01</v>
      </c>
      <c r="F69" s="62">
        <v>56.12</v>
      </c>
      <c r="G69" s="63">
        <f t="shared" si="2"/>
        <v>53.01</v>
      </c>
      <c r="H69" s="28">
        <f t="shared" si="0"/>
        <v>53.01</v>
      </c>
      <c r="I69" s="28"/>
    </row>
    <row r="70" spans="1:9" ht="33">
      <c r="A70" s="59">
        <v>50</v>
      </c>
      <c r="B70" s="60" t="s">
        <v>301</v>
      </c>
      <c r="C70" s="61" t="s">
        <v>53</v>
      </c>
      <c r="D70" s="62">
        <v>1900</v>
      </c>
      <c r="E70" s="62">
        <v>2238.1999999999998</v>
      </c>
      <c r="F70" s="62">
        <v>2363.54</v>
      </c>
      <c r="G70" s="63">
        <f t="shared" si="2"/>
        <v>2238.1999999999998</v>
      </c>
      <c r="H70" s="28">
        <f t="shared" si="0"/>
        <v>2238.1999999999998</v>
      </c>
      <c r="I70" s="28"/>
    </row>
    <row r="71" spans="1:9" ht="33">
      <c r="A71" s="59">
        <v>51</v>
      </c>
      <c r="B71" s="60" t="s">
        <v>304</v>
      </c>
      <c r="C71" s="61" t="s">
        <v>53</v>
      </c>
      <c r="D71" s="62">
        <v>60</v>
      </c>
      <c r="E71" s="62">
        <v>70.680000000000007</v>
      </c>
      <c r="F71" s="62">
        <v>67.900000000000006</v>
      </c>
      <c r="G71" s="63">
        <f t="shared" si="2"/>
        <v>67.900000000000006</v>
      </c>
      <c r="H71" s="28">
        <f t="shared" si="0"/>
        <v>67.900000000000006</v>
      </c>
      <c r="I71" s="28"/>
    </row>
    <row r="72" spans="1:9" ht="33">
      <c r="A72" s="59">
        <v>52</v>
      </c>
      <c r="B72" s="60" t="s">
        <v>307</v>
      </c>
      <c r="C72" s="61" t="s">
        <v>53</v>
      </c>
      <c r="D72" s="62">
        <v>20</v>
      </c>
      <c r="E72" s="62">
        <v>23.56</v>
      </c>
      <c r="F72" s="62">
        <v>25.6</v>
      </c>
      <c r="G72" s="63">
        <f t="shared" si="2"/>
        <v>23.56</v>
      </c>
      <c r="H72" s="28">
        <f t="shared" si="0"/>
        <v>23.56</v>
      </c>
      <c r="I72" s="28"/>
    </row>
    <row r="73" spans="1:9" ht="33">
      <c r="A73" s="59">
        <v>53</v>
      </c>
      <c r="B73" s="60" t="s">
        <v>310</v>
      </c>
      <c r="C73" s="61" t="s">
        <v>53</v>
      </c>
      <c r="D73" s="62">
        <v>800</v>
      </c>
      <c r="E73" s="62">
        <v>942.4</v>
      </c>
      <c r="F73" s="62">
        <v>963.6</v>
      </c>
      <c r="G73" s="63">
        <f t="shared" si="2"/>
        <v>942.4</v>
      </c>
      <c r="H73" s="28">
        <f t="shared" si="0"/>
        <v>942.4</v>
      </c>
      <c r="I73" s="28"/>
    </row>
    <row r="74" spans="1:9" ht="16.5">
      <c r="A74" s="59">
        <v>54</v>
      </c>
      <c r="B74" s="60" t="s">
        <v>313</v>
      </c>
      <c r="C74" s="61" t="s">
        <v>53</v>
      </c>
      <c r="D74" s="62">
        <v>34</v>
      </c>
      <c r="E74" s="62">
        <v>40.049999999999997</v>
      </c>
      <c r="F74" s="62">
        <v>30.07</v>
      </c>
      <c r="G74" s="63">
        <f t="shared" si="2"/>
        <v>34</v>
      </c>
      <c r="H74" s="28">
        <f t="shared" si="0"/>
        <v>34</v>
      </c>
      <c r="I74" s="28"/>
    </row>
    <row r="75" spans="1:9" ht="16.5">
      <c r="A75" s="59">
        <v>55</v>
      </c>
      <c r="B75" s="60" t="s">
        <v>316</v>
      </c>
      <c r="C75" s="61" t="s">
        <v>53</v>
      </c>
      <c r="D75" s="62">
        <v>37</v>
      </c>
      <c r="E75" s="62">
        <v>43.59</v>
      </c>
      <c r="F75" s="62">
        <v>37.6</v>
      </c>
      <c r="G75" s="63">
        <f t="shared" si="2"/>
        <v>37.6</v>
      </c>
      <c r="H75" s="28">
        <f t="shared" si="0"/>
        <v>37.6</v>
      </c>
      <c r="I75" s="28"/>
    </row>
    <row r="76" spans="1:9" ht="33">
      <c r="A76" s="59">
        <v>56</v>
      </c>
      <c r="B76" s="60" t="s">
        <v>319</v>
      </c>
      <c r="C76" s="61" t="s">
        <v>53</v>
      </c>
      <c r="D76" s="62">
        <v>82</v>
      </c>
      <c r="E76" s="62">
        <v>96.6</v>
      </c>
      <c r="F76" s="62">
        <v>112.2</v>
      </c>
      <c r="G76" s="63">
        <f t="shared" si="2"/>
        <v>96.6</v>
      </c>
      <c r="H76" s="28">
        <f t="shared" si="0"/>
        <v>96.6</v>
      </c>
      <c r="I76" s="28"/>
    </row>
    <row r="77" spans="1:9" ht="33">
      <c r="A77" s="59">
        <v>57</v>
      </c>
      <c r="B77" s="60" t="s">
        <v>322</v>
      </c>
      <c r="C77" s="61" t="s">
        <v>53</v>
      </c>
      <c r="D77" s="62">
        <v>360</v>
      </c>
      <c r="E77" s="62">
        <v>424.08</v>
      </c>
      <c r="F77" s="62">
        <v>433.15</v>
      </c>
      <c r="G77" s="63">
        <f t="shared" si="2"/>
        <v>424.08</v>
      </c>
      <c r="H77" s="28">
        <f t="shared" si="0"/>
        <v>424.08</v>
      </c>
      <c r="I77" s="28"/>
    </row>
    <row r="78" spans="1:9" ht="49.5">
      <c r="A78" s="59">
        <v>58</v>
      </c>
      <c r="B78" s="60" t="s">
        <v>512</v>
      </c>
      <c r="C78" s="61" t="s">
        <v>53</v>
      </c>
      <c r="D78" s="62">
        <v>75000</v>
      </c>
      <c r="E78" s="62">
        <v>78000</v>
      </c>
      <c r="F78" s="62">
        <v>78800</v>
      </c>
      <c r="G78" s="63">
        <f t="shared" si="2"/>
        <v>78000</v>
      </c>
      <c r="H78" s="28">
        <f t="shared" si="0"/>
        <v>78000</v>
      </c>
      <c r="I78" s="28"/>
    </row>
    <row r="79" spans="1:9" ht="33">
      <c r="A79" s="59">
        <v>59</v>
      </c>
      <c r="B79" s="60" t="s">
        <v>328</v>
      </c>
      <c r="C79" s="61" t="s">
        <v>53</v>
      </c>
      <c r="D79" s="62">
        <v>36.4</v>
      </c>
      <c r="E79" s="62">
        <v>42.88</v>
      </c>
      <c r="F79" s="62">
        <v>37.200000000000003</v>
      </c>
      <c r="G79" s="63">
        <f t="shared" si="2"/>
        <v>37.200000000000003</v>
      </c>
      <c r="H79" s="28">
        <f t="shared" si="0"/>
        <v>37.200000000000003</v>
      </c>
      <c r="I79" s="28"/>
    </row>
    <row r="80" spans="1:9" ht="33">
      <c r="A80" s="59">
        <v>60</v>
      </c>
      <c r="B80" s="60" t="s">
        <v>331</v>
      </c>
      <c r="C80" s="61" t="s">
        <v>68</v>
      </c>
      <c r="D80" s="62">
        <v>77.400000000000006</v>
      </c>
      <c r="E80" s="62">
        <v>91.18</v>
      </c>
      <c r="F80" s="62">
        <v>107.13</v>
      </c>
      <c r="G80" s="63">
        <f t="shared" si="2"/>
        <v>91.18</v>
      </c>
      <c r="H80" s="28">
        <f t="shared" si="0"/>
        <v>91.18</v>
      </c>
      <c r="I80" s="28"/>
    </row>
    <row r="81" spans="1:9" ht="16.5">
      <c r="A81" s="64">
        <v>61</v>
      </c>
      <c r="B81" s="65" t="s">
        <v>334</v>
      </c>
      <c r="C81" s="66" t="s">
        <v>68</v>
      </c>
      <c r="D81" s="67">
        <v>29.3</v>
      </c>
      <c r="E81" s="67">
        <v>34.520000000000003</v>
      </c>
      <c r="F81" s="67">
        <v>35.200000000000003</v>
      </c>
      <c r="G81" s="48">
        <f t="shared" si="2"/>
        <v>34.520000000000003</v>
      </c>
      <c r="H81" s="28">
        <f t="shared" si="0"/>
        <v>34.520000000000003</v>
      </c>
      <c r="I81" s="28"/>
    </row>
    <row r="82" spans="1:9" ht="16.5">
      <c r="A82" s="28"/>
      <c r="B82" s="28"/>
      <c r="C82" s="28"/>
      <c r="D82" s="28"/>
      <c r="E82" s="28"/>
      <c r="F82" s="28"/>
      <c r="G82" s="28"/>
      <c r="H82" s="28"/>
      <c r="I82" s="28"/>
    </row>
    <row r="83" spans="1:9" ht="16.5">
      <c r="A83" s="28"/>
      <c r="B83" s="28"/>
      <c r="C83" s="28"/>
      <c r="D83" s="28"/>
      <c r="E83" s="28"/>
      <c r="F83" s="28"/>
      <c r="G83" s="28"/>
      <c r="H83" s="28"/>
      <c r="I83" s="28"/>
    </row>
    <row r="84" spans="1:9" ht="16.5">
      <c r="A84" s="28"/>
      <c r="B84" s="28"/>
      <c r="C84" s="28"/>
      <c r="D84" s="28"/>
      <c r="E84" s="28"/>
      <c r="F84" s="28"/>
      <c r="G84" s="28"/>
      <c r="H84" s="28"/>
      <c r="I84" s="28"/>
    </row>
    <row r="85" spans="1:9" ht="16.5">
      <c r="A85" s="28"/>
      <c r="B85" s="28"/>
      <c r="C85" s="28"/>
      <c r="D85" s="28"/>
      <c r="E85" s="28"/>
      <c r="F85" s="28"/>
      <c r="G85" s="28"/>
      <c r="H85" s="28"/>
      <c r="I85" s="28"/>
    </row>
    <row r="86" spans="1:9" ht="16.5">
      <c r="A86" s="28"/>
      <c r="B86" s="28"/>
      <c r="C86" s="28"/>
      <c r="D86" s="28"/>
      <c r="E86" s="28"/>
      <c r="F86" s="28"/>
      <c r="G86" s="28"/>
      <c r="H86" s="28"/>
      <c r="I86" s="28"/>
    </row>
    <row r="87" spans="1:9" ht="16.5">
      <c r="A87" s="68"/>
      <c r="B87" s="68"/>
      <c r="C87" s="68"/>
      <c r="D87" s="68"/>
      <c r="E87" s="68"/>
      <c r="F87" s="68"/>
      <c r="G87" s="68"/>
      <c r="H87" s="68"/>
      <c r="I87" s="68"/>
    </row>
  </sheetData>
  <mergeCells count="9">
    <mergeCell ref="G18:G20"/>
    <mergeCell ref="A1:G2"/>
    <mergeCell ref="A9:B12"/>
    <mergeCell ref="A17:B20"/>
    <mergeCell ref="A3:E3"/>
    <mergeCell ref="A6:E6"/>
    <mergeCell ref="A8:G8"/>
    <mergeCell ref="A16:G16"/>
    <mergeCell ref="G10:G12"/>
  </mergeCells>
  <printOptions horizontalCentered="1"/>
  <pageMargins left="0.39305555555555599" right="0.39305555555555599" top="0.59027777777777801" bottom="0.39305555555555599" header="0.78680555555555598" footer="0.78680555555555598"/>
  <pageSetup paperSize="9" scale="59" firstPageNumber="0" orientation="portrait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workbookViewId="0"/>
  </sheetViews>
  <sheetFormatPr defaultColWidth="9.140625" defaultRowHeight="15"/>
  <cols>
    <col min="1" max="1" width="13.5703125" customWidth="1"/>
    <col min="2" max="2" width="40.28515625" customWidth="1"/>
    <col min="3" max="3" width="24" customWidth="1"/>
    <col min="4" max="4" width="25.42578125" customWidth="1"/>
    <col min="5" max="5" width="20.5703125" customWidth="1"/>
    <col min="7" max="7" width="17" customWidth="1"/>
  </cols>
  <sheetData>
    <row r="1" spans="1:9" ht="96" customHeight="1">
      <c r="A1" s="1"/>
      <c r="B1" s="1"/>
      <c r="C1" s="1"/>
      <c r="D1" s="1"/>
      <c r="E1" s="1"/>
      <c r="F1" s="1"/>
      <c r="G1" s="1"/>
    </row>
    <row r="2" spans="1:9" ht="18.75">
      <c r="A2" s="2"/>
      <c r="B2" s="3"/>
      <c r="C2" s="4"/>
      <c r="D2" s="5"/>
      <c r="E2" s="3"/>
      <c r="F2" s="3"/>
      <c r="G2" s="3"/>
    </row>
    <row r="3" spans="1:9" ht="15.75">
      <c r="A3" s="258" t="s">
        <v>513</v>
      </c>
      <c r="B3" s="258"/>
      <c r="C3" s="258"/>
      <c r="D3" s="258"/>
      <c r="E3" s="258"/>
      <c r="F3" s="258"/>
      <c r="G3" s="258"/>
      <c r="H3" s="258"/>
      <c r="I3" s="258"/>
    </row>
    <row r="4" spans="1:9" ht="15.75">
      <c r="A4" s="7"/>
      <c r="B4" s="6"/>
      <c r="C4" s="6"/>
      <c r="D4" s="6"/>
      <c r="E4" s="6"/>
      <c r="F4" s="6"/>
      <c r="G4" s="6"/>
    </row>
    <row r="5" spans="1:9" ht="15.75">
      <c r="A5" s="259" t="s">
        <v>514</v>
      </c>
      <c r="B5" s="259"/>
      <c r="C5" s="259"/>
      <c r="D5" s="259"/>
      <c r="E5" s="259"/>
      <c r="F5" s="259"/>
      <c r="G5" s="259"/>
      <c r="H5" s="259"/>
      <c r="I5" s="259"/>
    </row>
    <row r="6" spans="1:9" ht="15.75">
      <c r="A6" s="259" t="s">
        <v>515</v>
      </c>
      <c r="B6" s="259"/>
      <c r="C6" s="259"/>
      <c r="D6" s="259"/>
      <c r="E6" s="259"/>
      <c r="F6" s="259"/>
      <c r="G6" s="259"/>
      <c r="H6" s="259"/>
      <c r="I6" s="259"/>
    </row>
    <row r="7" spans="1:9" ht="15.75">
      <c r="A7" s="259" t="s">
        <v>516</v>
      </c>
      <c r="B7" s="259"/>
      <c r="C7" s="259"/>
      <c r="D7" s="259"/>
      <c r="E7" s="259"/>
      <c r="F7" s="259"/>
      <c r="G7" s="259"/>
      <c r="H7" s="259"/>
      <c r="I7" s="259"/>
    </row>
    <row r="8" spans="1:9">
      <c r="A8" s="8"/>
      <c r="B8" s="9"/>
      <c r="C8" s="9"/>
      <c r="D8" s="9"/>
      <c r="E8" s="9"/>
      <c r="F8" s="9"/>
      <c r="G8" s="10"/>
    </row>
    <row r="9" spans="1:9" ht="27" customHeight="1">
      <c r="A9" s="8"/>
      <c r="B9" s="260" t="s">
        <v>517</v>
      </c>
      <c r="C9" s="260"/>
      <c r="D9" s="11" t="s">
        <v>518</v>
      </c>
      <c r="E9" s="11" t="s">
        <v>519</v>
      </c>
      <c r="F9" s="261" t="s">
        <v>520</v>
      </c>
      <c r="G9" s="261"/>
    </row>
    <row r="10" spans="1:9">
      <c r="A10" s="268">
        <v>1</v>
      </c>
      <c r="B10" s="270" t="str">
        <f>Planilha_Orçamentária_Modelo!B20</f>
        <v>INSTALAÇÃO DE ILUMINAÇÃO PÚBLICA ORNAMENTAL NA RUA HACHIRO YAMASAKI – JD. AUYB I</v>
      </c>
      <c r="C10" s="270"/>
      <c r="D10" s="12">
        <f>F10*0.7</f>
        <v>81990.292999999991</v>
      </c>
      <c r="E10" s="12">
        <f>F10*0.3</f>
        <v>35138.696999999993</v>
      </c>
      <c r="F10" s="262">
        <f>Planilha_Orçamentária_Modelo!J20</f>
        <v>117128.98999999999</v>
      </c>
      <c r="G10" s="262"/>
    </row>
    <row r="11" spans="1:9">
      <c r="A11" s="268"/>
      <c r="B11" s="270"/>
      <c r="C11" s="270"/>
      <c r="D11" s="13">
        <f>D10*F11/F10</f>
        <v>0.7</v>
      </c>
      <c r="E11" s="13">
        <f>E10*F11/F10</f>
        <v>0.3</v>
      </c>
      <c r="F11" s="263">
        <f>100%</f>
        <v>1</v>
      </c>
      <c r="G11" s="263"/>
    </row>
    <row r="12" spans="1:9">
      <c r="A12" s="268">
        <v>2</v>
      </c>
      <c r="B12" s="270" t="str">
        <f>Planilha_Orçamentária_Modelo!B49</f>
        <v>INSTALAÇÃO DE ILUMINAÇÃO PÚBLICA NA AVENIDA JOSÉ DE NÓBREGA – BAIRRO CAMPO GRANDE</v>
      </c>
      <c r="C12" s="270"/>
      <c r="D12" s="14">
        <f>F12*0.6</f>
        <v>158518.06199999995</v>
      </c>
      <c r="E12" s="14">
        <f>F12*0.4</f>
        <v>105678.70799999997</v>
      </c>
      <c r="F12" s="262">
        <f>Planilha_Orçamentária_Modelo!J49</f>
        <v>264196.7699999999</v>
      </c>
      <c r="G12" s="262"/>
    </row>
    <row r="13" spans="1:9">
      <c r="A13" s="268"/>
      <c r="B13" s="270"/>
      <c r="C13" s="270"/>
      <c r="D13" s="15">
        <f>D12/F12</f>
        <v>0.6</v>
      </c>
      <c r="E13" s="15">
        <f>E12/F12</f>
        <v>0.4</v>
      </c>
      <c r="F13" s="263">
        <v>1</v>
      </c>
      <c r="G13" s="263"/>
    </row>
    <row r="14" spans="1:9">
      <c r="A14" s="268">
        <v>3</v>
      </c>
      <c r="B14" s="270" t="str">
        <f>Planilha_Orçamentária_Modelo!B195</f>
        <v>SUBSTITUIÇÃO DE LUMINÁRIAS CONVENCIONAIS POR LED EM RUAS DO BAIRRO JARDIM AYUB I</v>
      </c>
      <c r="C14" s="270"/>
      <c r="D14" s="12"/>
      <c r="E14" s="12">
        <f>F14</f>
        <v>44865.71</v>
      </c>
      <c r="F14" s="262">
        <f>Planilha_Orçamentária_Modelo!J195</f>
        <v>44865.71</v>
      </c>
      <c r="G14" s="262"/>
    </row>
    <row r="15" spans="1:9">
      <c r="A15" s="268"/>
      <c r="B15" s="270"/>
      <c r="C15" s="270"/>
      <c r="D15" s="15"/>
      <c r="E15" s="15">
        <f>E14/F14</f>
        <v>1</v>
      </c>
      <c r="F15" s="263">
        <v>1</v>
      </c>
      <c r="G15" s="263"/>
    </row>
    <row r="16" spans="1:9">
      <c r="A16" s="269"/>
      <c r="B16" s="268" t="s">
        <v>521</v>
      </c>
      <c r="C16" s="268"/>
      <c r="D16" s="12">
        <f>D12+D14+D10</f>
        <v>240508.35499999992</v>
      </c>
      <c r="E16" s="12">
        <f>E10+E12+E14</f>
        <v>185683.11499999996</v>
      </c>
      <c r="F16" s="264">
        <f>F10+F12+F14</f>
        <v>426191.46999999991</v>
      </c>
      <c r="G16" s="264"/>
    </row>
    <row r="17" spans="1:7">
      <c r="A17" s="269"/>
      <c r="B17" s="268"/>
      <c r="C17" s="268"/>
      <c r="D17" s="15">
        <f>D16/F16</f>
        <v>0.5643199639823856</v>
      </c>
      <c r="E17" s="15">
        <f>E16/F16</f>
        <v>0.43568003601761435</v>
      </c>
      <c r="F17" s="265">
        <f>D17+E17</f>
        <v>1</v>
      </c>
      <c r="G17" s="265"/>
    </row>
    <row r="18" spans="1:7">
      <c r="A18" s="16"/>
      <c r="B18" s="17"/>
      <c r="C18" s="17"/>
      <c r="D18" s="18"/>
      <c r="E18" s="18"/>
      <c r="F18" s="18"/>
      <c r="G18" s="18"/>
    </row>
    <row r="19" spans="1:7" ht="26.1" customHeight="1">
      <c r="A19" s="266" t="s">
        <v>522</v>
      </c>
      <c r="B19" s="266"/>
      <c r="C19" s="266"/>
      <c r="D19" s="266"/>
      <c r="E19" s="266"/>
      <c r="F19" s="266"/>
      <c r="G19" s="266"/>
    </row>
    <row r="20" spans="1:7">
      <c r="A20" s="9"/>
      <c r="B20" s="19"/>
      <c r="C20" s="20"/>
      <c r="D20" s="20"/>
      <c r="E20" s="20"/>
      <c r="F20" s="20"/>
      <c r="G20" s="21"/>
    </row>
    <row r="21" spans="1:7">
      <c r="A21" s="9"/>
      <c r="B21" s="22"/>
      <c r="C21" s="23"/>
      <c r="D21" s="22"/>
      <c r="E21" s="22"/>
      <c r="F21" s="22"/>
      <c r="G21" s="24"/>
    </row>
    <row r="22" spans="1:7" ht="16.5">
      <c r="A22" s="267" t="s">
        <v>523</v>
      </c>
      <c r="B22" s="267"/>
      <c r="C22" s="267"/>
      <c r="D22" s="267"/>
      <c r="E22" s="267"/>
      <c r="F22" s="267"/>
      <c r="G22" s="267"/>
    </row>
    <row r="23" spans="1:7">
      <c r="A23" s="1"/>
      <c r="B23" s="25"/>
      <c r="C23" s="25"/>
      <c r="D23" s="25"/>
      <c r="E23" s="25"/>
      <c r="F23" s="25"/>
      <c r="G23" s="26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</sheetData>
  <mergeCells count="24">
    <mergeCell ref="A10:A11"/>
    <mergeCell ref="A12:A13"/>
    <mergeCell ref="A14:A15"/>
    <mergeCell ref="A16:A17"/>
    <mergeCell ref="B10:C11"/>
    <mergeCell ref="B12:C13"/>
    <mergeCell ref="B14:C15"/>
    <mergeCell ref="B16:C17"/>
    <mergeCell ref="F15:G15"/>
    <mergeCell ref="F16:G16"/>
    <mergeCell ref="F17:G17"/>
    <mergeCell ref="A19:G19"/>
    <mergeCell ref="A22:G22"/>
    <mergeCell ref="F10:G10"/>
    <mergeCell ref="F11:G11"/>
    <mergeCell ref="F12:G12"/>
    <mergeCell ref="F13:G13"/>
    <mergeCell ref="F14:G14"/>
    <mergeCell ref="A3:I3"/>
    <mergeCell ref="A5:I5"/>
    <mergeCell ref="A6:I6"/>
    <mergeCell ref="A7:I7"/>
    <mergeCell ref="B9:C9"/>
    <mergeCell ref="F9:G9"/>
  </mergeCells>
  <pageMargins left="0.75" right="0.75" top="1" bottom="1" header="0.5" footer="0.5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LibreOffice/6.4.6.2$Windows_X86_64 LibreOffice_project/0ce51a4fd21bff07a5c061082cc82c5ed232f115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 RESUMO</vt:lpstr>
      <vt:lpstr>Planilha_Orçamentária_Modelo</vt:lpstr>
      <vt:lpstr>PREÇOS DE MERCADO</vt:lpstr>
      <vt:lpstr>Planilha4</vt:lpstr>
      <vt:lpstr>Planilha_Orçamentária_Modelo!Area_de_impressao</vt:lpstr>
      <vt:lpstr>Planilha4!Area_de_impressao</vt:lpstr>
      <vt:lpstr>'PREÇOS DE MERCADO'!Area_de_impressao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Eng. Lima Rafael</dc:creator>
  <cp:lastModifiedBy>TALITA</cp:lastModifiedBy>
  <cp:revision>5</cp:revision>
  <cp:lastPrinted>2023-12-21T17:37:00Z</cp:lastPrinted>
  <dcterms:created xsi:type="dcterms:W3CDTF">2022-03-14T21:25:00Z</dcterms:created>
  <dcterms:modified xsi:type="dcterms:W3CDTF">2024-10-16T11:37:53Z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DE74D329563A404793EFAE6E60246B1B</vt:lpwstr>
  </property>
  <property fmtid="{D5CDD505-2E9C-101B-9397-08002B2CF9AE}" pid="9" name="KSOProductBuildVer">
    <vt:lpwstr>1046-12.2.0.13489</vt:lpwstr>
  </property>
</Properties>
</file>