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Orçamento por ambiente" sheetId="1" r:id="rId1"/>
    <sheet name="Cronograma" sheetId="2" r:id="rId2"/>
    <sheet name="Composição de Preços" sheetId="3" r:id="rId3"/>
    <sheet name="Assento Sanitário Elevado" sheetId="4" r:id="rId4"/>
    <sheet name="Materiais ATA" sheetId="5" r:id="rId5"/>
    <sheet name="Tomadas (ZÉ CARLOS)" sheetId="6" r:id="rId6"/>
    <sheet name="Planilha para doc. ATA" sheetId="7" r:id="rId7"/>
  </sheets>
  <externalReferences>
    <externalReference r:id="rId8"/>
  </externalReferenc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7" i="6"/>
  <c r="C36"/>
  <c r="C35"/>
  <c r="C34"/>
  <c r="C33"/>
  <c r="C32"/>
  <c r="C31"/>
  <c r="C29"/>
  <c r="C28"/>
  <c r="C25"/>
  <c r="C22"/>
  <c r="C19"/>
  <c r="C17"/>
  <c r="C14"/>
  <c r="C11"/>
  <c r="C10"/>
  <c r="C9"/>
  <c r="C8"/>
  <c r="I7"/>
  <c r="C7"/>
  <c r="I6"/>
  <c r="C6"/>
  <c r="J5"/>
  <c r="I5"/>
  <c r="E5"/>
  <c r="C5"/>
  <c r="J4"/>
  <c r="I4"/>
  <c r="C4"/>
  <c r="I3"/>
  <c r="C3"/>
  <c r="I2"/>
  <c r="C2"/>
  <c r="E53" i="5"/>
  <c r="E52"/>
  <c r="E51"/>
  <c r="E50"/>
  <c r="E49"/>
  <c r="E48"/>
  <c r="E47"/>
  <c r="E46"/>
  <c r="E45"/>
  <c r="E44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J33"/>
  <c r="H33"/>
  <c r="E33"/>
  <c r="E32"/>
  <c r="E31"/>
  <c r="H30"/>
  <c r="J30" s="1"/>
  <c r="E30"/>
  <c r="E29"/>
  <c r="H29" s="1"/>
  <c r="J29" s="1"/>
  <c r="H28"/>
  <c r="J28" s="1"/>
  <c r="E28"/>
  <c r="E27"/>
  <c r="C26"/>
  <c r="E26" s="1"/>
  <c r="E25"/>
  <c r="H25" s="1"/>
  <c r="J25" s="1"/>
  <c r="E24"/>
  <c r="H24" s="1"/>
  <c r="J24" s="1"/>
  <c r="H23"/>
  <c r="J23" s="1"/>
  <c r="E23"/>
  <c r="E22"/>
  <c r="H22" s="1"/>
  <c r="J22" s="1"/>
  <c r="E21"/>
  <c r="H21" s="1"/>
  <c r="J21" s="1"/>
  <c r="E20"/>
  <c r="H20" s="1"/>
  <c r="J20" s="1"/>
  <c r="H19"/>
  <c r="J19" s="1"/>
  <c r="E19"/>
  <c r="D18"/>
  <c r="E18" s="1"/>
  <c r="E17"/>
  <c r="D17"/>
  <c r="E16"/>
  <c r="D15"/>
  <c r="E15" s="1"/>
  <c r="D14"/>
  <c r="E14" s="1"/>
  <c r="D13"/>
  <c r="E13" s="1"/>
  <c r="D12"/>
  <c r="E12" s="1"/>
  <c r="D11"/>
  <c r="E11" s="1"/>
  <c r="G10"/>
  <c r="E10"/>
  <c r="D9"/>
  <c r="E9" s="1"/>
  <c r="D8"/>
  <c r="E8" s="1"/>
  <c r="D7"/>
  <c r="E7" s="1"/>
  <c r="D6"/>
  <c r="H5"/>
  <c r="J5" s="1"/>
  <c r="D5"/>
  <c r="J4"/>
  <c r="D4"/>
  <c r="J3"/>
  <c r="D3"/>
  <c r="J2"/>
  <c r="J55" s="1"/>
  <c r="D2"/>
  <c r="D24" i="3"/>
  <c r="D20"/>
  <c r="D10" s="1"/>
  <c r="F10" s="1"/>
  <c r="I17" i="1" s="1"/>
  <c r="K17" s="1"/>
  <c r="E10" i="3"/>
  <c r="B19" i="2"/>
  <c r="B11"/>
  <c r="K327" i="1"/>
  <c r="L327" s="1"/>
  <c r="J327"/>
  <c r="H327"/>
  <c r="K326"/>
  <c r="L326" s="1"/>
  <c r="C21" i="2" s="1"/>
  <c r="J326" i="1"/>
  <c r="H326"/>
  <c r="K324"/>
  <c r="L324" s="1"/>
  <c r="J324"/>
  <c r="K323"/>
  <c r="L323" s="1"/>
  <c r="J323"/>
  <c r="L322"/>
  <c r="K322"/>
  <c r="J322"/>
  <c r="L321"/>
  <c r="K321"/>
  <c r="J321"/>
  <c r="K320"/>
  <c r="L320" s="1"/>
  <c r="J320"/>
  <c r="K319"/>
  <c r="L319" s="1"/>
  <c r="J319"/>
  <c r="L318"/>
  <c r="K318"/>
  <c r="J318"/>
  <c r="L317"/>
  <c r="K317"/>
  <c r="J317"/>
  <c r="K316"/>
  <c r="L316" s="1"/>
  <c r="J316"/>
  <c r="K315"/>
  <c r="L315" s="1"/>
  <c r="J315"/>
  <c r="L314"/>
  <c r="K314"/>
  <c r="J314"/>
  <c r="L313"/>
  <c r="K313"/>
  <c r="J313"/>
  <c r="K312"/>
  <c r="L312" s="1"/>
  <c r="C19" i="2" s="1"/>
  <c r="J312" i="1"/>
  <c r="K306"/>
  <c r="K305"/>
  <c r="J305"/>
  <c r="H305"/>
  <c r="H306" s="1"/>
  <c r="K299"/>
  <c r="L299" s="1"/>
  <c r="J299"/>
  <c r="L298"/>
  <c r="K298"/>
  <c r="J298"/>
  <c r="K292"/>
  <c r="L291"/>
  <c r="K291"/>
  <c r="H291"/>
  <c r="H292" s="1"/>
  <c r="K281"/>
  <c r="L280"/>
  <c r="K280"/>
  <c r="H280"/>
  <c r="H281" s="1"/>
  <c r="H265"/>
  <c r="J263"/>
  <c r="K256"/>
  <c r="K255"/>
  <c r="J255"/>
  <c r="H255"/>
  <c r="L255" s="1"/>
  <c r="J254"/>
  <c r="K253"/>
  <c r="L253" s="1"/>
  <c r="J253"/>
  <c r="K252"/>
  <c r="L252" s="1"/>
  <c r="J252"/>
  <c r="L251"/>
  <c r="K251"/>
  <c r="J251"/>
  <c r="L250"/>
  <c r="K250"/>
  <c r="J250"/>
  <c r="K249"/>
  <c r="L249" s="1"/>
  <c r="J249"/>
  <c r="J242"/>
  <c r="K241"/>
  <c r="L241" s="1"/>
  <c r="J241"/>
  <c r="L240"/>
  <c r="K240"/>
  <c r="J240"/>
  <c r="L239"/>
  <c r="K239"/>
  <c r="J239"/>
  <c r="L238"/>
  <c r="K238"/>
  <c r="J238"/>
  <c r="K237"/>
  <c r="L237" s="1"/>
  <c r="J237"/>
  <c r="K232"/>
  <c r="L232" s="1"/>
  <c r="J232"/>
  <c r="L231"/>
  <c r="K231"/>
  <c r="J231"/>
  <c r="L230"/>
  <c r="K230"/>
  <c r="J230"/>
  <c r="K229"/>
  <c r="L229" s="1"/>
  <c r="J229"/>
  <c r="K228"/>
  <c r="L228" s="1"/>
  <c r="J228"/>
  <c r="L219"/>
  <c r="K219"/>
  <c r="J219"/>
  <c r="L218"/>
  <c r="K218"/>
  <c r="J218"/>
  <c r="K217"/>
  <c r="L217" s="1"/>
  <c r="J217"/>
  <c r="K216"/>
  <c r="L216" s="1"/>
  <c r="J216"/>
  <c r="L215"/>
  <c r="K215"/>
  <c r="J215"/>
  <c r="L214"/>
  <c r="K214"/>
  <c r="J214"/>
  <c r="K213"/>
  <c r="L213" s="1"/>
  <c r="J213"/>
  <c r="K212"/>
  <c r="L212" s="1"/>
  <c r="J212"/>
  <c r="L211"/>
  <c r="K211"/>
  <c r="J211"/>
  <c r="L210"/>
  <c r="K210"/>
  <c r="J210"/>
  <c r="J209"/>
  <c r="L208"/>
  <c r="K208"/>
  <c r="J208"/>
  <c r="K207"/>
  <c r="L207" s="1"/>
  <c r="J207"/>
  <c r="K201"/>
  <c r="L201" s="1"/>
  <c r="J201"/>
  <c r="L200"/>
  <c r="K200"/>
  <c r="J200"/>
  <c r="L199"/>
  <c r="K199"/>
  <c r="J199"/>
  <c r="K198"/>
  <c r="L198" s="1"/>
  <c r="J198"/>
  <c r="K197"/>
  <c r="L197" s="1"/>
  <c r="J197"/>
  <c r="L196"/>
  <c r="K196"/>
  <c r="J196"/>
  <c r="L195"/>
  <c r="K195"/>
  <c r="J195"/>
  <c r="K193"/>
  <c r="J193"/>
  <c r="H193"/>
  <c r="L193" s="1"/>
  <c r="K192"/>
  <c r="J192"/>
  <c r="H192"/>
  <c r="L192" s="1"/>
  <c r="H189"/>
  <c r="H188"/>
  <c r="J184"/>
  <c r="K182"/>
  <c r="L182" s="1"/>
  <c r="J182"/>
  <c r="L181"/>
  <c r="K181"/>
  <c r="J181"/>
  <c r="L180"/>
  <c r="K180"/>
  <c r="J180"/>
  <c r="K179"/>
  <c r="L179" s="1"/>
  <c r="J179"/>
  <c r="K178"/>
  <c r="L178" s="1"/>
  <c r="J178"/>
  <c r="L177"/>
  <c r="K177"/>
  <c r="J177"/>
  <c r="L176"/>
  <c r="K176"/>
  <c r="J176"/>
  <c r="K175"/>
  <c r="L175" s="1"/>
  <c r="J175"/>
  <c r="K174"/>
  <c r="L174" s="1"/>
  <c r="J174"/>
  <c r="L173"/>
  <c r="K173"/>
  <c r="J173"/>
  <c r="L166"/>
  <c r="K166"/>
  <c r="J166"/>
  <c r="K165"/>
  <c r="L165" s="1"/>
  <c r="J165"/>
  <c r="K164"/>
  <c r="L164" s="1"/>
  <c r="J164"/>
  <c r="L163"/>
  <c r="K163"/>
  <c r="J163"/>
  <c r="L162"/>
  <c r="K162"/>
  <c r="J162"/>
  <c r="K155"/>
  <c r="L155" s="1"/>
  <c r="J155"/>
  <c r="K154"/>
  <c r="L154" s="1"/>
  <c r="J154"/>
  <c r="L153"/>
  <c r="K153"/>
  <c r="J153"/>
  <c r="L152"/>
  <c r="K152"/>
  <c r="J152"/>
  <c r="K151"/>
  <c r="L151" s="1"/>
  <c r="J151"/>
  <c r="J146"/>
  <c r="K145"/>
  <c r="J145"/>
  <c r="H145"/>
  <c r="L145" s="1"/>
  <c r="K144"/>
  <c r="J144"/>
  <c r="H144"/>
  <c r="L144" s="1"/>
  <c r="J137"/>
  <c r="L136"/>
  <c r="K136"/>
  <c r="J136"/>
  <c r="K128"/>
  <c r="J128"/>
  <c r="H128"/>
  <c r="L128" s="1"/>
  <c r="K127"/>
  <c r="L127" s="1"/>
  <c r="J127"/>
  <c r="K126"/>
  <c r="L126" s="1"/>
  <c r="J126"/>
  <c r="L125"/>
  <c r="K125"/>
  <c r="J125"/>
  <c r="L124"/>
  <c r="K124"/>
  <c r="J124"/>
  <c r="K123"/>
  <c r="L123" s="1"/>
  <c r="J123"/>
  <c r="K111"/>
  <c r="L111" s="1"/>
  <c r="J111"/>
  <c r="L110"/>
  <c r="K110"/>
  <c r="J110"/>
  <c r="L109"/>
  <c r="K109"/>
  <c r="J109"/>
  <c r="K108"/>
  <c r="L108" s="1"/>
  <c r="J108"/>
  <c r="K107"/>
  <c r="L107" s="1"/>
  <c r="J107"/>
  <c r="J100"/>
  <c r="K99"/>
  <c r="L99" s="1"/>
  <c r="J99"/>
  <c r="L98"/>
  <c r="K98"/>
  <c r="J98"/>
  <c r="L97"/>
  <c r="K97"/>
  <c r="J97"/>
  <c r="K96"/>
  <c r="L96" s="1"/>
  <c r="J96"/>
  <c r="K95"/>
  <c r="L95" s="1"/>
  <c r="J95"/>
  <c r="L89"/>
  <c r="K89"/>
  <c r="J89"/>
  <c r="L88"/>
  <c r="K88"/>
  <c r="J88"/>
  <c r="K87"/>
  <c r="J87"/>
  <c r="H87"/>
  <c r="L87" s="1"/>
  <c r="H85"/>
  <c r="K78"/>
  <c r="L77"/>
  <c r="K77"/>
  <c r="H77"/>
  <c r="H78" s="1"/>
  <c r="L75"/>
  <c r="K75"/>
  <c r="H75"/>
  <c r="J75" s="1"/>
  <c r="L71"/>
  <c r="K71"/>
  <c r="H71"/>
  <c r="J71" s="1"/>
  <c r="L70"/>
  <c r="K70"/>
  <c r="J70"/>
  <c r="K69"/>
  <c r="L69" s="1"/>
  <c r="J69"/>
  <c r="K68"/>
  <c r="L68" s="1"/>
  <c r="J68"/>
  <c r="L67"/>
  <c r="K67"/>
  <c r="J67"/>
  <c r="L66"/>
  <c r="K66"/>
  <c r="J66"/>
  <c r="K65"/>
  <c r="L65" s="1"/>
  <c r="J65"/>
  <c r="J64"/>
  <c r="I64"/>
  <c r="K64" s="1"/>
  <c r="L64" s="1"/>
  <c r="K63"/>
  <c r="L63" s="1"/>
  <c r="J63"/>
  <c r="L62"/>
  <c r="K62"/>
  <c r="J62"/>
  <c r="L61"/>
  <c r="K61"/>
  <c r="J61"/>
  <c r="K60"/>
  <c r="L60" s="1"/>
  <c r="J60"/>
  <c r="K59"/>
  <c r="L59" s="1"/>
  <c r="J59"/>
  <c r="L58"/>
  <c r="K58"/>
  <c r="J58"/>
  <c r="L57"/>
  <c r="K57"/>
  <c r="J57"/>
  <c r="K56"/>
  <c r="L56" s="1"/>
  <c r="J56"/>
  <c r="K55"/>
  <c r="L55" s="1"/>
  <c r="J55"/>
  <c r="L54"/>
  <c r="K54"/>
  <c r="J54"/>
  <c r="L48"/>
  <c r="J48"/>
  <c r="H48"/>
  <c r="J47"/>
  <c r="H47"/>
  <c r="L47" s="1"/>
  <c r="H46"/>
  <c r="J46" s="1"/>
  <c r="L45"/>
  <c r="H45"/>
  <c r="J45" s="1"/>
  <c r="L44"/>
  <c r="J44"/>
  <c r="H44"/>
  <c r="J43"/>
  <c r="H43"/>
  <c r="L43" s="1"/>
  <c r="K42"/>
  <c r="L42" s="1"/>
  <c r="J42"/>
  <c r="L41"/>
  <c r="K41"/>
  <c r="J41"/>
  <c r="L40"/>
  <c r="K40"/>
  <c r="J40"/>
  <c r="H40"/>
  <c r="L39"/>
  <c r="K39"/>
  <c r="J39"/>
  <c r="H39"/>
  <c r="L38"/>
  <c r="K38"/>
  <c r="J38"/>
  <c r="H36"/>
  <c r="H37" s="1"/>
  <c r="H35"/>
  <c r="H34"/>
  <c r="H33"/>
  <c r="H32"/>
  <c r="H31"/>
  <c r="K30"/>
  <c r="J30"/>
  <c r="H30"/>
  <c r="L30" s="1"/>
  <c r="K29"/>
  <c r="J29"/>
  <c r="H29"/>
  <c r="L29" s="1"/>
  <c r="K26"/>
  <c r="L26" s="1"/>
  <c r="J26"/>
  <c r="K25"/>
  <c r="H25"/>
  <c r="J25" s="1"/>
  <c r="K24"/>
  <c r="H24"/>
  <c r="J24" s="1"/>
  <c r="K23"/>
  <c r="H23"/>
  <c r="J23" s="1"/>
  <c r="K22"/>
  <c r="H22"/>
  <c r="J22" s="1"/>
  <c r="K21"/>
  <c r="H21"/>
  <c r="J21" s="1"/>
  <c r="K20"/>
  <c r="H20"/>
  <c r="J20" s="1"/>
  <c r="K19"/>
  <c r="H19"/>
  <c r="J19" s="1"/>
  <c r="K18"/>
  <c r="H18"/>
  <c r="J18" s="1"/>
  <c r="H17"/>
  <c r="J17" s="1"/>
  <c r="L15"/>
  <c r="C11" i="2" s="1"/>
  <c r="K15" i="1"/>
  <c r="J15"/>
  <c r="J78" l="1"/>
  <c r="L78"/>
  <c r="D11" i="2"/>
  <c r="L281" i="1"/>
  <c r="J281"/>
  <c r="J306"/>
  <c r="L306"/>
  <c r="L292"/>
  <c r="J292"/>
  <c r="D21" i="2"/>
  <c r="D22" s="1"/>
  <c r="D19"/>
  <c r="D20" s="1"/>
  <c r="L18" i="1"/>
  <c r="L20"/>
  <c r="L23"/>
  <c r="L25"/>
  <c r="H256"/>
  <c r="L46"/>
  <c r="C15" i="2" s="1"/>
  <c r="J77" i="1"/>
  <c r="J280"/>
  <c r="J291"/>
  <c r="L305"/>
  <c r="L17"/>
  <c r="L19"/>
  <c r="L21"/>
  <c r="L22"/>
  <c r="L24"/>
  <c r="E15" i="2" l="1"/>
  <c r="E16" s="1"/>
  <c r="D15"/>
  <c r="D16" s="1"/>
  <c r="C13"/>
  <c r="L328" i="1"/>
  <c r="C24" i="2" s="1"/>
  <c r="D12"/>
  <c r="J256" i="1"/>
  <c r="J328" s="1"/>
  <c r="L256"/>
  <c r="C17" i="2" s="1"/>
  <c r="C12" l="1"/>
  <c r="C20"/>
  <c r="C22"/>
  <c r="C18"/>
  <c r="D17"/>
  <c r="D18" s="1"/>
  <c r="E17"/>
  <c r="E18" s="1"/>
  <c r="C16"/>
  <c r="E13"/>
  <c r="C14"/>
  <c r="D13"/>
  <c r="D14" l="1"/>
  <c r="D26"/>
  <c r="E26"/>
  <c r="E27" s="1"/>
  <c r="E14"/>
  <c r="D28" l="1"/>
  <c r="E28" s="1"/>
  <c r="D27"/>
  <c r="D29" s="1"/>
  <c r="E29" s="1"/>
</calcChain>
</file>

<file path=xl/sharedStrings.xml><?xml version="1.0" encoding="utf-8"?>
<sst xmlns="http://schemas.openxmlformats.org/spreadsheetml/2006/main" count="1898" uniqueCount="637">
  <si>
    <t>PLANILHA ORÇAMENTÁRIA</t>
  </si>
  <si>
    <t>OBRA/SERVIÇO: ADEQUAÇÃO DAS INSTALAÇÕES DO CENTRO DE SAÚDE HELENA PROENÇA LACERDA</t>
  </si>
  <si>
    <t>DATA-BASE: TABELAS DESONERADAS</t>
  </si>
  <si>
    <t>LOCAL: RUA PROF. ELÓI LACERDA, 463 – CENTRO - PILAR DO SUL/SP</t>
  </si>
  <si>
    <t>SINAPI</t>
  </si>
  <si>
    <t>MAIO/2024</t>
  </si>
  <si>
    <t>Leis Sociais:</t>
  </si>
  <si>
    <t>85,80% (hora); 47,74% (mês)</t>
  </si>
  <si>
    <t>CDHU</t>
  </si>
  <si>
    <t>BDI</t>
  </si>
  <si>
    <t>ITEM</t>
  </si>
  <si>
    <t xml:space="preserve">FONTE </t>
  </si>
  <si>
    <t xml:space="preserve">CÓDIGO </t>
  </si>
  <si>
    <t>DESCRIÇÃO DOS SERVIÇOS (MATERIAL + MÃO DE OBRA)</t>
  </si>
  <si>
    <t>DESCRIÇÃO</t>
  </si>
  <si>
    <t>UNIDADE</t>
  </si>
  <si>
    <t>QUANTIDADE</t>
  </si>
  <si>
    <t>CUSTO UNITÁRIO</t>
  </si>
  <si>
    <t>CUSTO TOTAL</t>
  </si>
  <si>
    <t>CUSTO UNIT. COM BDI</t>
  </si>
  <si>
    <t>CUSTO TOTAL COM BDI</t>
  </si>
  <si>
    <t>SERVIÇOS PRELIMINARES</t>
  </si>
  <si>
    <t>1.1</t>
  </si>
  <si>
    <t>CDHU 194</t>
  </si>
  <si>
    <t>02.08.020</t>
  </si>
  <si>
    <t>Placa de obra</t>
  </si>
  <si>
    <t>Placa de identificação para obra</t>
  </si>
  <si>
    <t>m²</t>
  </si>
  <si>
    <t>FACHADA</t>
  </si>
  <si>
    <t>2.1</t>
  </si>
  <si>
    <t>COMP.</t>
  </si>
  <si>
    <t>Guarda-corpo</t>
  </si>
  <si>
    <t>Guarda-corpo tubular com tela em aço galvanizado, diâmetro de 1 1/2´ - H=1,40 m</t>
  </si>
  <si>
    <t>m</t>
  </si>
  <si>
    <t>2.2</t>
  </si>
  <si>
    <t>24.02.100</t>
  </si>
  <si>
    <t>Portão tubular em tela de aço galvanizado até 2,50 m de altura, completo</t>
  </si>
  <si>
    <t>2.3</t>
  </si>
  <si>
    <t>01.23.070</t>
  </si>
  <si>
    <t>Demarcação de área com disco de corte diamantado</t>
  </si>
  <si>
    <t>2.4</t>
  </si>
  <si>
    <t>03.01.020</t>
  </si>
  <si>
    <t>Demolição manual de concreto simples</t>
  </si>
  <si>
    <t>m³</t>
  </si>
  <si>
    <t>2.5</t>
  </si>
  <si>
    <t>11.18.040</t>
  </si>
  <si>
    <t>Lastro de pedra britada – 3cm</t>
  </si>
  <si>
    <t>2.6</t>
  </si>
  <si>
    <t>11.01.130</t>
  </si>
  <si>
    <t>Concreto usinado, fck = 25 MPa</t>
  </si>
  <si>
    <t>2.7</t>
  </si>
  <si>
    <t>11.16.060</t>
  </si>
  <si>
    <t>Lançamento e adensamento de concreto ou massa em estrutura</t>
  </si>
  <si>
    <t>2.8</t>
  </si>
  <si>
    <t>33.11.050</t>
  </si>
  <si>
    <t>Pintura guarda-corpo</t>
  </si>
  <si>
    <t>Esmalte à base água em superfície metálica, inclusive preparo</t>
  </si>
  <si>
    <t>2.9</t>
  </si>
  <si>
    <t>14.20.020</t>
  </si>
  <si>
    <t>Cimalha em concreto com pingadeira</t>
  </si>
  <si>
    <t>2.10</t>
  </si>
  <si>
    <t>30.04.030</t>
  </si>
  <si>
    <t>Piso em ladrilho hidráulico podotátil várias cores (25x25cm), assentado com argamassa mista</t>
  </si>
  <si>
    <t>Rejuntamento piso ladrilho hi</t>
  </si>
  <si>
    <t>ENTRADA</t>
  </si>
  <si>
    <t>3.1</t>
  </si>
  <si>
    <t>FDE</t>
  </si>
  <si>
    <t>06.03.101</t>
  </si>
  <si>
    <t>Corrimão</t>
  </si>
  <si>
    <t>Co-35 corrimão duplo com montante vertical aço galvanizado com pintura esmalte</t>
  </si>
  <si>
    <t>3.2</t>
  </si>
  <si>
    <t>04.09.020</t>
  </si>
  <si>
    <t>Remoção de portão (3,10x2,40)</t>
  </si>
  <si>
    <t>Retirada de esquadria metálica em geral</t>
  </si>
  <si>
    <t>3.4</t>
  </si>
  <si>
    <t>CDHU 193</t>
  </si>
  <si>
    <t>14.04.210</t>
  </si>
  <si>
    <t>Fechamento Alvenaria</t>
  </si>
  <si>
    <t>Alvenaria de bloco cerâmico de vedação de 14 cm</t>
  </si>
  <si>
    <t>06.01.020</t>
  </si>
  <si>
    <t>Escavação broca</t>
  </si>
  <si>
    <t>Escavação manual em solo de 1ª e 2ª categoria em campo aberto</t>
  </si>
  <si>
    <t>09.01.030</t>
  </si>
  <si>
    <t>forma para pilar</t>
  </si>
  <si>
    <t>Forma em madeira comum para estrutura</t>
  </si>
  <si>
    <t>10.01.040</t>
  </si>
  <si>
    <t>armadura pilar + broca</t>
  </si>
  <si>
    <t>Armadura em barra de aço CA‐50 (A ou B) fyk = 500 MPa</t>
  </si>
  <si>
    <t>kg</t>
  </si>
  <si>
    <t>10.01.060</t>
  </si>
  <si>
    <t>armadura estribo pilar + broca</t>
  </si>
  <si>
    <t>Armadura em barra de aço CA‐60 (A ou B) fyk = 600 MPa</t>
  </si>
  <si>
    <t>concreto pilar + broca</t>
  </si>
  <si>
    <t>lançamento concreto pilar + broca</t>
  </si>
  <si>
    <t>3.5</t>
  </si>
  <si>
    <t>3.3</t>
  </si>
  <si>
    <t>21.20.300</t>
  </si>
  <si>
    <t>Piso antiderrapante</t>
  </si>
  <si>
    <t>Fita adesiva antiderrapante com largura de 5 cm</t>
  </si>
  <si>
    <t>25.01.080</t>
  </si>
  <si>
    <t>Portão de correr (3,10x2,40)</t>
  </si>
  <si>
    <t>Caixilho em alumínio de correr, sob medida</t>
  </si>
  <si>
    <t>26.02.060</t>
  </si>
  <si>
    <t>Pintura do Portão de correr</t>
  </si>
  <si>
    <t>Vidro temperado incolor de 10 mm</t>
  </si>
  <si>
    <t>3.6</t>
  </si>
  <si>
    <t>28.20.600</t>
  </si>
  <si>
    <t>Fechadura de centro com cilindro para porta em vidro temperado</t>
  </si>
  <si>
    <t>un</t>
  </si>
  <si>
    <t>3.7</t>
  </si>
  <si>
    <t>28.20.650</t>
  </si>
  <si>
    <t>Puxador duplo em aço inoxidável, para porta de vidro, de 350 mm</t>
  </si>
  <si>
    <t>3.8</t>
  </si>
  <si>
    <t>Escavação (trilho portão)</t>
  </si>
  <si>
    <t>3.9</t>
  </si>
  <si>
    <t>Regularização vala (trilho portão)</t>
  </si>
  <si>
    <t>3.10</t>
  </si>
  <si>
    <t>concreto (trilho portão)</t>
  </si>
  <si>
    <t>3.11</t>
  </si>
  <si>
    <t>lançamento concreto (trilho portão)</t>
  </si>
  <si>
    <t>3.12</t>
  </si>
  <si>
    <t>armadura (trilho portão)</t>
  </si>
  <si>
    <t>3.13</t>
  </si>
  <si>
    <t>armadura estribo (trilho portão)</t>
  </si>
  <si>
    <t>ELÉTRICA</t>
  </si>
  <si>
    <t>41.14.070</t>
  </si>
  <si>
    <t>Luminária calha</t>
  </si>
  <si>
    <t>Luminária retangular de sobrepor tipo calha aberta, para 2 lâmpadas fluorescentes tubulares de 32 W</t>
  </si>
  <si>
    <t>40.05.020</t>
  </si>
  <si>
    <t>Interruptor simples</t>
  </si>
  <si>
    <t>Interruptor com 1 tecla simples e placa</t>
  </si>
  <si>
    <t>40.04.450</t>
  </si>
  <si>
    <t>Tomada</t>
  </si>
  <si>
    <t>Tomada 2P+T de 10 A ‐ 250 V, completa</t>
  </si>
  <si>
    <t>BANHEIRO MAS./FEM.</t>
  </si>
  <si>
    <t>4.1</t>
  </si>
  <si>
    <t>44.01.240</t>
  </si>
  <si>
    <t>lavatório</t>
  </si>
  <si>
    <t>Lavatório em louça com coluna suspensa</t>
  </si>
  <si>
    <t>4.2</t>
  </si>
  <si>
    <t>44.20.390</t>
  </si>
  <si>
    <t>Válvula de escoamento</t>
  </si>
  <si>
    <t>Válvula de PVC para lavatório</t>
  </si>
  <si>
    <t>4.3</t>
  </si>
  <si>
    <t>44.20.010</t>
  </si>
  <si>
    <t>Sifão extensivo flexível</t>
  </si>
  <si>
    <t>Sifão plástico sanfonado universal</t>
  </si>
  <si>
    <t>4.4</t>
  </si>
  <si>
    <t>44.03.720</t>
  </si>
  <si>
    <t>Torneira cromada de mesa tipo alavanca</t>
  </si>
  <si>
    <t>Torneira de mesa para lavatório, acionamento hidromecânico com alavanca, registro integrado regulador de vazão, em latão cromado</t>
  </si>
  <si>
    <t>4.5</t>
  </si>
  <si>
    <t>44.20.100</t>
  </si>
  <si>
    <t>Engate flexível em aço</t>
  </si>
  <si>
    <t>Engate flexível metálico DN= 1/2´</t>
  </si>
  <si>
    <t>4.6</t>
  </si>
  <si>
    <t>44.03.130</t>
  </si>
  <si>
    <t>Saboneteira</t>
  </si>
  <si>
    <t>Saboneteira tipo dispenser, para refil de 800 ml</t>
  </si>
  <si>
    <t>4.7</t>
  </si>
  <si>
    <t>44.03.010</t>
  </si>
  <si>
    <t>Dispenser toalheiro</t>
  </si>
  <si>
    <t>Dispenser toalheiro em ABS e policarbonato para bobina de 20 cm x 200 m, com alavanca</t>
  </si>
  <si>
    <t>4.8</t>
  </si>
  <si>
    <t>44.03.050</t>
  </si>
  <si>
    <t>dispenser papel higiênico</t>
  </si>
  <si>
    <t>Dispenser papel higiênico em ABS para rolão 300 / 600 m, com visor</t>
  </si>
  <si>
    <t>4.9</t>
  </si>
  <si>
    <t>26.04.010</t>
  </si>
  <si>
    <t>Espelho cristal</t>
  </si>
  <si>
    <t>Espelho em vidro cristal liso, espessura de 4 mm</t>
  </si>
  <si>
    <t>4.10</t>
  </si>
  <si>
    <t>44.01.800</t>
  </si>
  <si>
    <t>vaso</t>
  </si>
  <si>
    <t>Bacia sifonada com caixa de descarga acoplada sem tampa ‐ 6 litros</t>
  </si>
  <si>
    <t>4.11</t>
  </si>
  <si>
    <t>MERCADO</t>
  </si>
  <si>
    <t>Assento elevado com tampa 7,5 cm</t>
  </si>
  <si>
    <t>4.12</t>
  </si>
  <si>
    <t>30.01.061</t>
  </si>
  <si>
    <t>Barra alça de apoio em U</t>
  </si>
  <si>
    <t>Barra de apoio lateral para lavatório, para pessoas com mobilidade reduzida, em tubo de aço inoxidável de 1.1/4", comprimento 25 a 30 cm</t>
  </si>
  <si>
    <t>4.13</t>
  </si>
  <si>
    <t>Barra de apoio reta 80cm</t>
  </si>
  <si>
    <t>Barra de apoio reta, em aço inox polido, comprimento 80cm, diametro minimo 3 cm</t>
  </si>
  <si>
    <t>4.14</t>
  </si>
  <si>
    <t>Barra de apoio reta 70cm</t>
  </si>
  <si>
    <t>Barra de apoio reta, em aço inox polido, comprimento 70cm, diametro minimo 3 cm</t>
  </si>
  <si>
    <t>4.15</t>
  </si>
  <si>
    <t>30.01.120</t>
  </si>
  <si>
    <t>Barra de apoio porta</t>
  </si>
  <si>
    <t>Barra de apoio reta, para pessoas com mobilidade reduzida, em tubo de aço inoxidável de 1 1/4´ x 400 mm</t>
  </si>
  <si>
    <t>4.17</t>
  </si>
  <si>
    <t>4.16</t>
  </si>
  <si>
    <t>30.04.060</t>
  </si>
  <si>
    <t>Revestimento em chapa de aço</t>
  </si>
  <si>
    <t>Revestimento em chapa de aço inoxidável para proteção de portas, altura de 40 cm</t>
  </si>
  <si>
    <t>4.18</t>
  </si>
  <si>
    <t>30.06.080</t>
  </si>
  <si>
    <t>Placa de identificação</t>
  </si>
  <si>
    <t>Placa de identificação em alumínio para WC, com desenho universal de acessibilidade</t>
  </si>
  <si>
    <t xml:space="preserve">25.01.030 </t>
  </si>
  <si>
    <t>Vidro Basculante (57,5x38,5) 2</t>
  </si>
  <si>
    <t>Caixilho em alumínio basculante com vidro, linha comercial</t>
  </si>
  <si>
    <t>SALA DE ESPERA</t>
  </si>
  <si>
    <t>5.1</t>
  </si>
  <si>
    <t>44.02.062</t>
  </si>
  <si>
    <t>Pedra para bancada</t>
  </si>
  <si>
    <t>Tampo/bancada em granito, com frontão, espessura de 2 cm, acabamento polido</t>
  </si>
  <si>
    <t>5.2</t>
  </si>
  <si>
    <t>23.08.242</t>
  </si>
  <si>
    <t>Porta (90x100)</t>
  </si>
  <si>
    <t xml:space="preserve"> Porta lisa de correr suspensa em madeira com batente</t>
  </si>
  <si>
    <t>26.01.020</t>
  </si>
  <si>
    <t>Reparo vidro (87x23)</t>
  </si>
  <si>
    <t>Vidro liso transparente de 3 mm</t>
  </si>
  <si>
    <t>5.3</t>
  </si>
  <si>
    <t>04.14.020</t>
  </si>
  <si>
    <t>Retirada de vidro quebrado</t>
  </si>
  <si>
    <t>Retirada de vidro ou espelho com raspagem da massa ou retirada de baguete</t>
  </si>
  <si>
    <t>40.05.040</t>
  </si>
  <si>
    <t>Interruptor duplo</t>
  </si>
  <si>
    <t>Interruptor com 2 teclas simples e placa</t>
  </si>
  <si>
    <t>40.04.096</t>
  </si>
  <si>
    <t>RJ</t>
  </si>
  <si>
    <t>Tomada RJ 45 para rede de dados, com placa</t>
  </si>
  <si>
    <t>38.04.040</t>
  </si>
  <si>
    <t>Eletroduto galvanizado</t>
  </si>
  <si>
    <t>Eletroduto galvanizado conforme NBR13057 ‐  3/4´ com acessórios</t>
  </si>
  <si>
    <t>CORREDOR 1</t>
  </si>
  <si>
    <t>6.1</t>
  </si>
  <si>
    <t>6.2</t>
  </si>
  <si>
    <t>6.3</t>
  </si>
  <si>
    <t>04.09.060</t>
  </si>
  <si>
    <t>Retirada de guarda-corpo</t>
  </si>
  <si>
    <t>Retirada de batente, corrimão ou peças lineares metálicas, chumbados</t>
  </si>
  <si>
    <t>SALA 1</t>
  </si>
  <si>
    <t>7.2</t>
  </si>
  <si>
    <t>7.1</t>
  </si>
  <si>
    <t>44.01.110</t>
  </si>
  <si>
    <t>Lavatório de louça com coluna</t>
  </si>
  <si>
    <t>7.3</t>
  </si>
  <si>
    <t>7.4</t>
  </si>
  <si>
    <t>7.5</t>
  </si>
  <si>
    <t>Registro</t>
  </si>
  <si>
    <t>SALA 2</t>
  </si>
  <si>
    <t>8.4</t>
  </si>
  <si>
    <t>8.1</t>
  </si>
  <si>
    <t>8.5</t>
  </si>
  <si>
    <t>8.2</t>
  </si>
  <si>
    <t>8.6</t>
  </si>
  <si>
    <t>8.3</t>
  </si>
  <si>
    <t>8.7</t>
  </si>
  <si>
    <t>8.8</t>
  </si>
  <si>
    <t>44.20.280</t>
  </si>
  <si>
    <t>Tampa vaso sanitário</t>
  </si>
  <si>
    <t>Tampa de plástico para bacia sanitária</t>
  </si>
  <si>
    <t>40.04.470</t>
  </si>
  <si>
    <t>Tomada dupla</t>
  </si>
  <si>
    <t>Conjunto 2 tomadas 2P+T de 10 A, completo</t>
  </si>
  <si>
    <t>SALA 3</t>
  </si>
  <si>
    <t>SALA 4</t>
  </si>
  <si>
    <t>9.3</t>
  </si>
  <si>
    <t>9.1</t>
  </si>
  <si>
    <t>9.4</t>
  </si>
  <si>
    <t>9.2</t>
  </si>
  <si>
    <t>9.5</t>
  </si>
  <si>
    <t>9.6</t>
  </si>
  <si>
    <t>9.7</t>
  </si>
  <si>
    <t>23.20.170</t>
  </si>
  <si>
    <t>Folha de porta 100</t>
  </si>
  <si>
    <t>Folha de porta lisa folheada com madeira, sob medida</t>
  </si>
  <si>
    <t>40.04.480</t>
  </si>
  <si>
    <t>Interruptor + Tomada</t>
  </si>
  <si>
    <t>Conjunto 1 interruptor simples e 1 tomada 2P+T de 10 A, completo</t>
  </si>
  <si>
    <t>SALA 5</t>
  </si>
  <si>
    <t>10.1</t>
  </si>
  <si>
    <t>23.20.330</t>
  </si>
  <si>
    <t>Folha de porta 82</t>
  </si>
  <si>
    <t>Folha de porta lisa comum ‐ 80 x 210 cm</t>
  </si>
  <si>
    <t>CORREDOR 2</t>
  </si>
  <si>
    <t>11.1</t>
  </si>
  <si>
    <t>Vidro (25x100) 3</t>
  </si>
  <si>
    <t>11.2</t>
  </si>
  <si>
    <t>24.03.100</t>
  </si>
  <si>
    <t>Alçapão (50x50)</t>
  </si>
  <si>
    <t>Alçapão/tampa em chapa de ferro com porta cadeado</t>
  </si>
  <si>
    <t>SALA 6</t>
  </si>
  <si>
    <t>10.2</t>
  </si>
  <si>
    <t>12.1</t>
  </si>
  <si>
    <t>12.2</t>
  </si>
  <si>
    <t>12.3</t>
  </si>
  <si>
    <t>12.4</t>
  </si>
  <si>
    <t>12.5</t>
  </si>
  <si>
    <t>SALA 7</t>
  </si>
  <si>
    <t>13.1</t>
  </si>
  <si>
    <t>13.2</t>
  </si>
  <si>
    <t>13.3</t>
  </si>
  <si>
    <t>13.4</t>
  </si>
  <si>
    <t>13.5</t>
  </si>
  <si>
    <t>SALA 8</t>
  </si>
  <si>
    <t>14.1</t>
  </si>
  <si>
    <t>14.2</t>
  </si>
  <si>
    <t>14.3</t>
  </si>
  <si>
    <t>14.4</t>
  </si>
  <si>
    <t>14.5</t>
  </si>
  <si>
    <t>12.6</t>
  </si>
  <si>
    <t>14.6</t>
  </si>
  <si>
    <t>12.7</t>
  </si>
  <si>
    <t>14.7</t>
  </si>
  <si>
    <t>12.8</t>
  </si>
  <si>
    <t>14.8</t>
  </si>
  <si>
    <t>12.9</t>
  </si>
  <si>
    <t>14.9</t>
  </si>
  <si>
    <t>12.11</t>
  </si>
  <si>
    <t>14.10</t>
  </si>
  <si>
    <t>Anel de vedação</t>
  </si>
  <si>
    <t>12.12</t>
  </si>
  <si>
    <t>41.02.541</t>
  </si>
  <si>
    <t>Lampada</t>
  </si>
  <si>
    <t>Lâmpada LED tubular T8 com base G13, de 900 até 1050 Im ‐ 9 a 10 W</t>
  </si>
  <si>
    <t>CORREDOR 3</t>
  </si>
  <si>
    <t>15.1</t>
  </si>
  <si>
    <t>Reparo vidro (25x100) 2</t>
  </si>
  <si>
    <t>15.2</t>
  </si>
  <si>
    <t>SALA 9</t>
  </si>
  <si>
    <t>16.1</t>
  </si>
  <si>
    <t>16.2</t>
  </si>
  <si>
    <t>16.3</t>
  </si>
  <si>
    <t>16.4</t>
  </si>
  <si>
    <t>16.5</t>
  </si>
  <si>
    <t>16.6</t>
  </si>
  <si>
    <t>Reparo vidro (91x22)</t>
  </si>
  <si>
    <t>16.7</t>
  </si>
  <si>
    <t>SALA 10</t>
  </si>
  <si>
    <t>17.1</t>
  </si>
  <si>
    <t xml:space="preserve">43.02.140 </t>
  </si>
  <si>
    <t>Chuveiro</t>
  </si>
  <si>
    <t>Chuveiro elétrico de 5.500 W / 220 V em PVC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</si>
  <si>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</si>
  <si>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</si>
  <si>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</si>
  <si>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</si>
  <si>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</si>
  <si>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</si>
  <si>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</si>
  <si>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</si>
  <si>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</si>
  <si>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</si>
  <si>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</si>
  <si>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Fechadura completa</t>
  </si>
  <si>
    <t>Fechadura espelho para porta interna, em aço inox</t>
  </si>
  <si>
    <t>40.20.120</t>
  </si>
  <si>
    <t>Tampa cega 4x2’</t>
  </si>
  <si>
    <t>Placa de 4´ x 2´</t>
  </si>
  <si>
    <t>40.20.140</t>
  </si>
  <si>
    <t>Tampa cega 4x4’</t>
  </si>
  <si>
    <t>Placa de 4´ x 4´</t>
  </si>
  <si>
    <t>SALA 11</t>
  </si>
  <si>
    <t>18.1</t>
  </si>
  <si>
    <t>18.2</t>
  </si>
  <si>
    <t>18.3</t>
  </si>
  <si>
    <t>18.4</t>
  </si>
  <si>
    <t>18.5</t>
  </si>
  <si>
    <t>SALA 12</t>
  </si>
  <si>
    <t>19.1</t>
  </si>
  <si>
    <t>19.2</t>
  </si>
  <si>
    <t>19.3</t>
  </si>
  <si>
    <t>19.4</t>
  </si>
  <si>
    <t>19.5</t>
  </si>
  <si>
    <t>SALA 13</t>
  </si>
  <si>
    <t>20.1</t>
  </si>
  <si>
    <t>20.2</t>
  </si>
  <si>
    <t>20.3</t>
  </si>
  <si>
    <t>20.4</t>
  </si>
  <si>
    <t>20.5</t>
  </si>
  <si>
    <t>20.6</t>
  </si>
  <si>
    <t>Reparo vidro (9x92)</t>
  </si>
  <si>
    <t>20.7</t>
  </si>
  <si>
    <t>SALA 14</t>
  </si>
  <si>
    <t>41.07.070</t>
  </si>
  <si>
    <t>Lampada fluorescente</t>
  </si>
  <si>
    <t>Lâmpada fluorescente tubular, base bipino bilateral de 32 W</t>
  </si>
  <si>
    <t>CORREDOR 4</t>
  </si>
  <si>
    <t>SALA 15</t>
  </si>
  <si>
    <t>SALA 16</t>
  </si>
  <si>
    <t>21.1</t>
  </si>
  <si>
    <t>Reparo vidro (69x20)</t>
  </si>
  <si>
    <t>21.2</t>
  </si>
  <si>
    <t>SALA 17</t>
  </si>
  <si>
    <t>CORREDOR 5</t>
  </si>
  <si>
    <t>22.1</t>
  </si>
  <si>
    <t>Reparo vidro (62x15) 2</t>
  </si>
  <si>
    <t>22.2</t>
  </si>
  <si>
    <t>SALA 18</t>
  </si>
  <si>
    <t>23.1</t>
  </si>
  <si>
    <t>23.2</t>
  </si>
  <si>
    <t>SALA 19</t>
  </si>
  <si>
    <t>24.1</t>
  </si>
  <si>
    <t>Reparo vidro (130x22) 2</t>
  </si>
  <si>
    <t>24.2</t>
  </si>
  <si>
    <t>INSTALAÇÃO ELÉTRICA</t>
  </si>
  <si>
    <t>25.1</t>
  </si>
  <si>
    <t>41.14.210</t>
  </si>
  <si>
    <t>Calha comercial para 3 lampadas</t>
  </si>
  <si>
    <t>Luminária quadrada de embutir tipo calha aberta com aletas planas, para 2 lâmpadas fluorescentes compactas de 18 W/26 W</t>
  </si>
  <si>
    <t>25.2</t>
  </si>
  <si>
    <t>41.07.050</t>
  </si>
  <si>
    <t>Lampada para calha</t>
  </si>
  <si>
    <t xml:space="preserve"> Lâmpada fluorescente tubular, base bipino bilateral de 20 W</t>
  </si>
  <si>
    <t>25.3</t>
  </si>
  <si>
    <t>38.07.800</t>
  </si>
  <si>
    <t>ganchos longos para perfilado</t>
  </si>
  <si>
    <t>Gancho longo em chapa de aço zincado, para fixação de luminárias; ref. Perfilaço, TWT ou equivalente</t>
  </si>
  <si>
    <t>25.4</t>
  </si>
  <si>
    <t>41.20.080</t>
  </si>
  <si>
    <t>plafons com soquete de porcelana E27</t>
  </si>
  <si>
    <t>Plafon plástico e/ou PVC para acabamento de ponto de luz, com soquete E‐27 para lâmpada fluorescente compacta</t>
  </si>
  <si>
    <t>25.5</t>
  </si>
  <si>
    <t>Espelho 2 módulo 4x2</t>
  </si>
  <si>
    <t>ESPELHO / PLACA DE 2 POSTOS 4" X 2", PARA INSTALACAO DE TOMADAS E INTERRUPTORES</t>
  </si>
  <si>
    <t>25.6</t>
  </si>
  <si>
    <t>Espelho 3 módulos 4x2</t>
  </si>
  <si>
    <t>ESPELHO / PLACA DE 3 POSTOS 4" X 2", PARA INSTALACAO DE TOMADAS E INTERRUPTORES</t>
  </si>
  <si>
    <t>25.7</t>
  </si>
  <si>
    <t>Espelho 4 módulos 4x4</t>
  </si>
  <si>
    <t>ESPELHO / PLACA DE 4 POSTOS 4" X 4", PARA INSTALACAO DE TOMADAS E INTERRUPTORES</t>
  </si>
  <si>
    <t>25.8</t>
  </si>
  <si>
    <t>Módulo tomada 10a</t>
  </si>
  <si>
    <t>TOMADA 2P+T 10A, 250V (APENAS MODULO)</t>
  </si>
  <si>
    <t>25.9</t>
  </si>
  <si>
    <r>
      <rPr>
        <sz val="10"/>
        <rFont val="Arial"/>
        <family val="2"/>
      </rPr>
      <t>Módulo tomada 20</t>
    </r>
    <r>
      <rPr>
        <vertAlign val="superscript"/>
        <sz val="10"/>
        <rFont val="Arial"/>
        <family val="2"/>
      </rPr>
      <t>a</t>
    </r>
  </si>
  <si>
    <t>TOMADA 2P+T 20A, 250V (APENAS MODULO)</t>
  </si>
  <si>
    <t>25.10</t>
  </si>
  <si>
    <t>Módulo int. simples</t>
  </si>
  <si>
    <t>INTERRUPTOR BIPOLAR SIMPLES 10 A, 250 V (APENAS MODULO)</t>
  </si>
  <si>
    <t>25.11</t>
  </si>
  <si>
    <t>Módulo para ventilador</t>
  </si>
  <si>
    <t>VARIADOR DE VELOCIDADE PARA VENTILADOR 127 V, 150 W (APENAS MODULO)</t>
  </si>
  <si>
    <t>25.12</t>
  </si>
  <si>
    <t>69.20.040</t>
  </si>
  <si>
    <t>Isolador roldana 36x36</t>
  </si>
  <si>
    <t xml:space="preserve"> Isolador roldana em porcelana de 36 x 36 mm</t>
  </si>
  <si>
    <t>25.13</t>
  </si>
  <si>
    <t>38.07.300</t>
  </si>
  <si>
    <t>barra de perfilado perfurado 38x38</t>
  </si>
  <si>
    <t>Perfilado perfurado 38 x 38 mm em chapa 14 pré‐zincada, com acessórios</t>
  </si>
  <si>
    <t>SERVIÇOS COMPLEMENTARES</t>
  </si>
  <si>
    <t>26.1</t>
  </si>
  <si>
    <t>33.12.011</t>
  </si>
  <si>
    <t>Esmalte à base de água em madeira, inclusive preparo</t>
  </si>
  <si>
    <t>26.2</t>
  </si>
  <si>
    <t>30.04.020</t>
  </si>
  <si>
    <t>Piso podotatil</t>
  </si>
  <si>
    <t>Revestimento sintético de borracha ou PVC colorido, para sinalização tátil de alerta / direcional ‐ colado</t>
  </si>
  <si>
    <t>TOTAL</t>
  </si>
  <si>
    <t>TOTAL COM BDI</t>
  </si>
  <si>
    <t>CRONOGRAMA FÍSICO-FINANCEIRO</t>
  </si>
  <si>
    <r>
      <rPr>
        <b/>
        <sz val="12"/>
        <rFont val="Arial"/>
      </rPr>
      <t xml:space="preserve">PROCESSO: </t>
    </r>
    <r>
      <rPr>
        <sz val="12"/>
        <rFont val="Arial"/>
      </rPr>
      <t>REFORMA E ADEQUAÇÃO DO CENTRO DE SAÚDE HELENA P LACERDA</t>
    </r>
  </si>
  <si>
    <r>
      <rPr>
        <b/>
        <sz val="12"/>
        <color rgb="FF000000"/>
        <rFont val="Arial"/>
      </rPr>
      <t xml:space="preserve">LOCAL: </t>
    </r>
    <r>
      <rPr>
        <sz val="12"/>
        <color rgb="FF000000"/>
        <rFont val="Arial"/>
      </rPr>
      <t xml:space="preserve">RUA PRO. ELÓI LACERDA, 463 - BAIRRO: CENTRO - PILAR DO SUL/SP </t>
    </r>
  </si>
  <si>
    <r>
      <rPr>
        <b/>
        <sz val="12"/>
        <color rgb="FF000000"/>
        <rFont val="Arial"/>
      </rPr>
      <t xml:space="preserve">PROPRIETÁRIO: </t>
    </r>
    <r>
      <rPr>
        <sz val="12"/>
        <color rgb="FF000000"/>
        <rFont val="Arial"/>
      </rPr>
      <t>PREFEITURA MUNICIPAL DE PILAR DO SUL/SP</t>
    </r>
  </si>
  <si>
    <t>PRAZO DA OBRA: 30 DIAS</t>
  </si>
  <si>
    <t>DESCRIMINAÇÃO</t>
  </si>
  <si>
    <t>ETAPA</t>
  </si>
  <si>
    <t>15 DIAS</t>
  </si>
  <si>
    <t>30 DIAS</t>
  </si>
  <si>
    <t>%</t>
  </si>
  <si>
    <t>REFORMA DA FACHADA (ÁREA EXTERNA)</t>
  </si>
  <si>
    <t>ADEQUAÇÃO DA ENTRADA E SALA DE ESPERA</t>
  </si>
  <si>
    <t>ADEQUAÇÃO DE SALAS E CORREDORES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</si>
  <si>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</si>
  <si>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RESUMO DO ORÇAMENTO</t>
  </si>
  <si>
    <t>TOTAL (R$)</t>
  </si>
  <si>
    <t>TOTAL (%)</t>
  </si>
  <si>
    <t>ACUMULADO (R$)</t>
  </si>
  <si>
    <t>ACUMULADO (%)</t>
  </si>
  <si>
    <t>COMPOSIÇÃO</t>
  </si>
  <si>
    <t>Versão:</t>
  </si>
  <si>
    <t>Vigência a partir de:</t>
  </si>
  <si>
    <t>BDI:</t>
  </si>
  <si>
    <t xml:space="preserve">L.S.: </t>
  </si>
  <si>
    <t>Item</t>
  </si>
  <si>
    <t>Serviço</t>
  </si>
  <si>
    <t>Un</t>
  </si>
  <si>
    <t>Material</t>
  </si>
  <si>
    <t>Mão de Obra</t>
  </si>
  <si>
    <t>Custo Total</t>
  </si>
  <si>
    <t>Comp. 01</t>
  </si>
  <si>
    <t>Composição</t>
  </si>
  <si>
    <t>B.01.000.010139</t>
  </si>
  <si>
    <t>Pedreiro</t>
  </si>
  <si>
    <t>h</t>
  </si>
  <si>
    <t>B.01.000.010146</t>
  </si>
  <si>
    <t>Servente</t>
  </si>
  <si>
    <t>H.04.000.031352</t>
  </si>
  <si>
    <t>Insumo</t>
  </si>
  <si>
    <t>Ins. 01</t>
  </si>
  <si>
    <t>Proporção</t>
  </si>
  <si>
    <t>Mem. cálculo</t>
  </si>
  <si>
    <t>Guarda-corpo tubular com tela em aço galvanizado, diâmetro de 1 1/2´ - H=1,10 m</t>
  </si>
  <si>
    <t>-</t>
  </si>
  <si>
    <t>863,85 x 1,40/1,10</t>
  </si>
  <si>
    <t>PILAR DO SUL, 19 DE JUNHO DE 2024</t>
  </si>
  <si>
    <t>ACESSADO DIA 04/07/2024</t>
  </si>
  <si>
    <t>MATERIAIS (REFERÊNCIA)</t>
  </si>
  <si>
    <t>QUANTIDADE NECESSÁRIA (TALES)</t>
  </si>
  <si>
    <t>QUANTIDADE NECESSÁRIA (ZÉ CARLOS)</t>
  </si>
  <si>
    <t>QUANTIDADE RESULTANTE</t>
  </si>
  <si>
    <t>MATERIAIS ATA</t>
  </si>
  <si>
    <t>QUANTIDADE ATA</t>
  </si>
  <si>
    <t>RESULTADO</t>
  </si>
  <si>
    <t>PREÇO UNITÁRIO</t>
  </si>
  <si>
    <t>PREÇO TOTAL</t>
  </si>
  <si>
    <t>Calha comercial para 3 lampadas tubular de led de 18w, completa</t>
  </si>
  <si>
    <t>Luminária quadrada de embutir tipo calha aberta com aletas planas, para 2 lâmpadas fluorescentes compactas de 18 W/26 W (CDHU)</t>
  </si>
  <si>
    <t>Gancho longo em chapa de aço zincado, para fixação de luminárias; ref. Perfilaço, TWT ou equivalente (CDHU)</t>
  </si>
  <si>
    <t>Plafon de soquete de porcelana pvc da branca,  marca mar girus ou similar de 1ª linha [Plafon de plástico e/ou PVC, para acabamento de ponto de luz, com soquete E‐27; ref. PF1 ou PF2 da Wetzel ou equivalente (CDHU)]</t>
  </si>
  <si>
    <t>lampadas de led de 20W</t>
  </si>
  <si>
    <t>Lâmpada de led 30w / e -27 6500k, vida útil de  25000 horas, padrão inmetro de 1ª linha</t>
  </si>
  <si>
    <t>ok</t>
  </si>
  <si>
    <t>Conj. 4x2 com 1 tomada x 10A</t>
  </si>
  <si>
    <t xml:space="preserve">Conjunto tomada simples 10 a (2t+t) completa 4x2  cor branca </t>
  </si>
  <si>
    <t>Conj. 4x2 com 2 tomadas x 10A</t>
  </si>
  <si>
    <t>Conjunto tomada dupla (2t+t) 10 a completa cor  branca</t>
  </si>
  <si>
    <t>Conj. 4x2 com 1 tomada x 20A</t>
  </si>
  <si>
    <t xml:space="preserve">Conjunto tomada simples 20 a (2t+t) completa 4x2  cor branca </t>
  </si>
  <si>
    <t>Conj. 4x2 com 2 tomadas x 20A</t>
  </si>
  <si>
    <t>Conjunto 4x2 com 2 tomadas de embutir de 20a, 1ª  linha</t>
  </si>
  <si>
    <t>Conj. 4x2 com placa com furo</t>
  </si>
  <si>
    <t>Tampa cega 4x2 branca</t>
  </si>
  <si>
    <t>4x2 com 1 interruptor simples</t>
  </si>
  <si>
    <t>Conjunto com 01 interruptor (simples) cor branca</t>
  </si>
  <si>
    <t>Conj. 4x2 com 2 interruptores simples</t>
  </si>
  <si>
    <t>Conjunto com 2 interruptores  - completo</t>
  </si>
  <si>
    <t>Conj. 4x2 com placa cega</t>
  </si>
  <si>
    <t>Conj. 4x2 com 1 interruptor simples e 1 tomada x 10A</t>
  </si>
  <si>
    <t xml:space="preserve">Conjunto 1 tomada (2t+t) 10 a + 1 interruptor  completo </t>
  </si>
  <si>
    <t>Conj. 4x2 com tomada interruptor campainha</t>
  </si>
  <si>
    <t>Conjunto 4x2 c/ 1 interruptor campainha</t>
  </si>
  <si>
    <t>Conj. 4x2 com 1 tomada RJ11</t>
  </si>
  <si>
    <t>Conjunto 4x2 c/ 1 tomada rj11</t>
  </si>
  <si>
    <t>Conj. 4x2 com 1 tomadas RJ45</t>
  </si>
  <si>
    <t>Conjunto 4x2 c/ 1 tomada rj45</t>
  </si>
  <si>
    <t>ESPELHO / PLACA DE 2 POSTOS 4" X 2", PARA INSTALACAO DE TOMADAS E INTERRUPTORES (SINAPI)</t>
  </si>
  <si>
    <t>ESPELHO / PLACA DE 3 POSTOS 4" X 2", PARA INSTALACAO DE TOMADAS E INTERRUPTORES (SINAPI)</t>
  </si>
  <si>
    <t>ESPELHO / PLACA DE 4 POSTOS 4" X 4", PARA INSTALACAO DE TOMADAS E INTERRUPTORES (SINAPI)</t>
  </si>
  <si>
    <t>Modulo tomada 10a, 1ª linha [TOMADA 2P+T 10A, 250V (APENAS MODULO) SINAPI]</t>
  </si>
  <si>
    <t>Modulo tomada 20a, 1ª linha [TOMADA 2P+T 20A, 250V (APENAS MODULO) SINAPI]</t>
  </si>
  <si>
    <t>INTERRUPTOR BIPOLAR SIMPLES 10 A, 250 V (APENAS MODULO) SINAPI</t>
  </si>
  <si>
    <t>VARIADOR DE VELOCIDADE PARA VENTILADOR 127 V, 150 W (APENAS MODULO) SINAPI</t>
  </si>
  <si>
    <t xml:space="preserve">Eletrodutos rígido ¾”, 0,75mm de parede, em aço  leve galvanizado, nbr5597 de 1ª linha </t>
  </si>
  <si>
    <t>Soquetes de engate rápido para lâmpada tubular de LED</t>
  </si>
  <si>
    <t xml:space="preserve">Soquete de pressão para lâmpada tubular de led  engate rápido </t>
  </si>
  <si>
    <t>terminais ilhós de 2,5mm</t>
  </si>
  <si>
    <t>terminais ilhós de 4,0mm</t>
  </si>
  <si>
    <t>terminais ilhós de 6,0mm</t>
  </si>
  <si>
    <t>Fitas isolante de 20m 3M+</t>
  </si>
  <si>
    <t>Fita isolante 18mm x 20m  – espessura 0,13mm</t>
  </si>
  <si>
    <t>Fitas auto fusão de 10m</t>
  </si>
  <si>
    <t>Fita alta fusão (hellerman)</t>
  </si>
  <si>
    <t xml:space="preserve"> Isolador roldana em porcelana de 72 x 72 mm (CDHU)</t>
  </si>
  <si>
    <t>Cabo flexível de 6,0mm² preto e vermelho</t>
  </si>
  <si>
    <t>Cabo flex. 6,0mm isolação em hepr atóxico,  tensão de isolação de 1kv, temp. De trabalho  90°c, nbr 13248 - cores variáveis (rolo com  100m)</t>
  </si>
  <si>
    <t>Cabo flexível de 6,0mm² azul</t>
  </si>
  <si>
    <t>Cabo flexível de 4,0mm² preto e branco</t>
  </si>
  <si>
    <t xml:space="preserve">Cabo flex. 4,0mm isolação em hepr atóxico, tensão  de isolação de 1kv, temp. De trabalho 90°c, nbr  13248 - cores variáveis (rolo com 100m) </t>
  </si>
  <si>
    <t>Cabo flexível de 4,0mm² verde</t>
  </si>
  <si>
    <t>Cabo flexível de 2,5mm² preto</t>
  </si>
  <si>
    <t>Cabo flex. 2,5mm isolação em hepr atóxico,  tensão de isolação de 1kv, temp. De trabalho  90°c, nbr 13248 - cores variáveis (rolo com  100m)</t>
  </si>
  <si>
    <t>Cabo flexível de 2,5mm² amarelo e branco</t>
  </si>
  <si>
    <t>Cabo flexível de 2,5mm² vermelho e preto</t>
  </si>
  <si>
    <t>Cabo flexível de 2,5mm² azul</t>
  </si>
  <si>
    <t>Cabo flexível de 2,5mm² verde</t>
  </si>
  <si>
    <t>Disjuntor tripolar de 70A curva C Norma DIN marca Steck ou Similar de 1ª linha, padronização INMETRO</t>
  </si>
  <si>
    <t xml:space="preserve">Disjuntor tripolar din 70 a, nbr nm 60898,icn=5ka e icu  6ka curva c de 1ª linha </t>
  </si>
  <si>
    <t>Disjuntor tripolar de 80A curva C Norma DIN marca Steck ou Similar de 1ª linha, padronização INMETRO</t>
  </si>
  <si>
    <t>Disjuntor tripolar din 80a iec60947-2, lcu = 10ka e ics =  75% de icu, uimp = 4ka, curva c de 1ª linha</t>
  </si>
  <si>
    <t>Disjuntor tripolar de 100A curva C, Norma DIN marca Steck ou similar de 1ª linha, padronização INMETRO</t>
  </si>
  <si>
    <t xml:space="preserve">Disjuntor tripolar din 100 a, nbr iec 60947-2 ,icu= 10ka e  ics= 75% de icu, uimp= 4 ka, curva c de 1ª linha </t>
  </si>
  <si>
    <t>Disjuntores unipolar de 25A curva C, Norma DIN, marca Steck ou Similar de 1ª linha, padronização INMETRO</t>
  </si>
  <si>
    <t xml:space="preserve">Disjuntor unipolar din 25a nbr nm60898, lcn = ics =  3ka de 1ª linha </t>
  </si>
  <si>
    <t>Disjuntores unipolar de 20A curva C, Norma DIN, marca Steck ou Similar de 1ª linha, padronização INMETRO</t>
  </si>
  <si>
    <t>Disjuntor unipolar din 20a nbr nm60898, lcn = ics =  3ka de 1ª linha</t>
  </si>
  <si>
    <t>Disjuntores unipolar de 32A curva C, Norma DIN, marca Steck ou Similar de 1ª linha, padronização INMETRO</t>
  </si>
  <si>
    <t xml:space="preserve">Disjuntor unipolar din 32a nbr nm60898, lcn = ics =  3ka de 1ª linha </t>
  </si>
  <si>
    <t>Disjuntores bipolar de 32A curva C, Norma DIN, marca Steck ou Similar de 1ª linha, padronização INMETRO</t>
  </si>
  <si>
    <t>Disjuntor bipolar din 32a nbr nm60898, lcn = 5ka e lcu  = 6ka  – curva c de 1ª linha</t>
  </si>
  <si>
    <t>Disjuntores bipolar de 40A curva C, Norma DIN, marca Steck ou Similar de 1ª linha, padronização INMETRO</t>
  </si>
  <si>
    <t>Disjuntor bipolar din 40a nbr nm60898, lcn =  5ka e lcu = 6ka – curva c de 1ª linha</t>
  </si>
  <si>
    <t>Disjuntores unipolar de 16A curva C, Norma DIN, marca Steck ou Similar de 1ª linha, padronização INMETRO</t>
  </si>
  <si>
    <t>Disjuntor unipolar din 16a nbr nm60898, lcn = ics =  3ka de 1ª linha</t>
  </si>
  <si>
    <t>01 Kit barramento central trifásico de150A, para 56 disjuntores</t>
  </si>
  <si>
    <t>Quadro de embutir para 56 disjuntores DIN com barramento Central trifásico de 150A, Marca Cemar ou Gomes, em chapa de aço, com pintura eletrostática na cor branca.</t>
  </si>
  <si>
    <t>Quadro de embutir em chapa de aço, para disjuntores 56 DIN / 40 Bolt‐on de 225 A, QDETG‐U II, ref. 904505 da Cemar ou equivalente</t>
  </si>
  <si>
    <t>MATERIAL</t>
  </si>
  <si>
    <t>DETALHE</t>
  </si>
  <si>
    <t>MATERIAL ATA</t>
  </si>
  <si>
    <t>ATA</t>
  </si>
  <si>
    <t>OK</t>
  </si>
  <si>
    <t>Conj. 4x2 com 1 tomada x 10A e 2 interruptores simples</t>
  </si>
  <si>
    <t>1 módulo tomada 10a</t>
  </si>
  <si>
    <t>2 módulo int. simples</t>
  </si>
  <si>
    <t>Conj. 4x2 com 2 tomadas 1 x 10A, e 1 x 20A.</t>
  </si>
  <si>
    <t>2 módulo tomada 10a</t>
  </si>
  <si>
    <t>1 módulo tomada 20a</t>
  </si>
  <si>
    <t>Conj. 4x2 com 3 interruptores simples</t>
  </si>
  <si>
    <t>3 módulo int. simples</t>
  </si>
  <si>
    <t>conj. 4x2 com 2 tomadas x 10A e 1 interruptor simples</t>
  </si>
  <si>
    <t>Espelho 3 módulos 4x4</t>
  </si>
  <si>
    <t>1 módulo int. simples</t>
  </si>
  <si>
    <t>Conj. 4x2 com 1 interruptor simples, e 2 tomadas x 20A</t>
  </si>
  <si>
    <t>2 módulo tomada 20a</t>
  </si>
  <si>
    <t>Conj. 4x4 com 3 interruptores simples e 1 interruptor paralelo</t>
  </si>
  <si>
    <t>1 Módulo int. paralelo</t>
  </si>
  <si>
    <t>Conj. 4x2 com chave para ventilador de parede</t>
  </si>
  <si>
    <t>1 caixa 4x2</t>
  </si>
  <si>
    <t>1 Módulo para ventilador</t>
  </si>
  <si>
    <t>Plafon de soquete de porcelana pvc da branca,  marca mar girus ou similar de 1ª linha</t>
  </si>
  <si>
    <t>MATERIAIS REQUERIDOS</t>
  </si>
  <si>
    <t>Nº ATA</t>
  </si>
  <si>
    <t>Modulo tomada 10a, 1ª linha</t>
  </si>
  <si>
    <t>Modulo tomada 20a, 1ª linha</t>
  </si>
  <si>
    <t>Cabo flex. 6,0mm isolação em hepr atóxico,  tensão de isolação de 1kv, temp. De trabalho  90°c, nbr 13248 – cor preto (rolo com  100m)</t>
  </si>
  <si>
    <t>Cabo flex. 6,0mm isolação em hepr atóxico,  tensão de isolação de 1kv, temp. De trabalho  90°c, nbr 13248 – cor vermelho (rolo com  100m)</t>
  </si>
  <si>
    <t>Cabo flex. 6,0mm isolação em hepr atóxico,  tensão de isolação de 1kv, temp. De trabalho  90°c, nbr 13248 – cor azul (rolo com  100m)</t>
  </si>
  <si>
    <t xml:space="preserve">Cabo flex. 4,0mm isolação em hepr atóxico, tensão  de isolação de 1kv, temp. De trabalho 90°c, nbr  13248 – cor preto (rolo com 100m) </t>
  </si>
  <si>
    <t xml:space="preserve">Cabo flex. 4,0mm isolação em hepr atóxico, tensão  de isolação de 1kv, temp. De trabalho 90°c, nbr  13248 – cor branco (rolo com 100m) </t>
  </si>
  <si>
    <t xml:space="preserve">Cabo flex. 4,0mm isolação em hepr atóxico, tensão  de isolação de 1kv, temp. De trabalho 90°c, nbr  13248 – cor verde (rolo com 100m) </t>
  </si>
  <si>
    <t>Cabo flex. 2,5mm isolação em hepr atóxico,  tensão de isolação de 1kv, temp. De trabalho  90°c, nbr 13248 – cor preta (rolo com  100m)</t>
  </si>
  <si>
    <t>Cabo flex. 2,5mm isolação em hepr atóxico,  tensão de isolação de 1kv, temp. De trabalho  90°c, nbr 13248 – cor amarelo (rolo com  100m)</t>
  </si>
  <si>
    <t>Cabo flex. 2,5mm isolação em hepr atóxico,  tensão de isolação de 1kv, temp. De trabalho  90°c, nbr 13248 – cor branco (rolo com  100m)</t>
  </si>
  <si>
    <t>Cabo flex. 2,5mm isolação em hepr atóxico,  tensão de isolação de 1kv, temp. De trabalho  90°c, nbr 13248 – cor vermelho (rolo com  100m)</t>
  </si>
  <si>
    <t>Cabo flex. 2,5mm isolação em hepr atóxico,  tensão de isolação de 1kv, temp. De trabalho  90°c, nbr 13248 – cor preto (rolo com  100m)</t>
  </si>
  <si>
    <t>Cabo flex. 2,5mm isolação em hepr atóxico,  tensão de isolação de 1kv, temp. De trabalho  90°c, nbr 13248 – cor azul (rolo com  100m)</t>
  </si>
  <si>
    <t>Cabo flex. 2,5mm isolação em hepr atóxico,  tensão de isolação de 1kv, temp. De trabalho  90°c, nbr 13248 – cor verde (rolo com  100m)</t>
  </si>
  <si>
    <t>Caixa de distribuição para embutir para ate 36  disjuntores din em pvc branco anti chamas</t>
  </si>
  <si>
    <t>Barramento central trifásico para 36 disjuntores din</t>
  </si>
</sst>
</file>

<file path=xl/styles.xml><?xml version="1.0" encoding="utf-8"?>
<styleSheet xmlns="http://schemas.openxmlformats.org/spreadsheetml/2006/main">
  <numFmts count="4">
    <numFmt numFmtId="164" formatCode="[$R$-416]\ #,##0.00;[Red]\-[$R$-416]\ #,##0.00"/>
    <numFmt numFmtId="165" formatCode="_(&quot;R$ &quot;* #,##0.00_);_(&quot;R$ &quot;* \(#,##0.00\);_(&quot;R$ &quot;* \-??_);_(@_)"/>
    <numFmt numFmtId="166" formatCode="&quot;R$ &quot;#,##0.00"/>
    <numFmt numFmtId="167" formatCode="dd/mm/yy"/>
  </numFmts>
  <fonts count="24">
    <font>
      <sz val="10"/>
      <name val="Arial"/>
      <family val="2"/>
    </font>
    <font>
      <sz val="10"/>
      <name val="Arial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2"/>
      <name val="Arial"/>
    </font>
    <font>
      <b/>
      <sz val="12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3"/>
      <color rgb="FF000000"/>
      <name val="Arial"/>
      <family val="2"/>
    </font>
    <font>
      <b/>
      <i/>
      <sz val="13"/>
      <color rgb="FF000000"/>
      <name val="Arial"/>
      <family val="2"/>
    </font>
    <font>
      <sz val="13"/>
      <color rgb="FF000000"/>
      <name val="Arial"/>
      <family val="2"/>
    </font>
    <font>
      <b/>
      <sz val="10"/>
      <name val="Arial"/>
    </font>
    <font>
      <vertAlign val="superscript"/>
      <sz val="10"/>
      <name val="Arial"/>
      <family val="2"/>
    </font>
    <font>
      <b/>
      <sz val="13"/>
      <name val="Arial"/>
    </font>
    <font>
      <sz val="12"/>
      <name val="Arial"/>
    </font>
    <font>
      <sz val="12"/>
      <color rgb="FF000000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1"/>
        <bgColor rgb="FFFFFF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4" tint="0.59999389629810485"/>
        <bgColor rgb="FF99CC00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23" fillId="0" borderId="0" applyFont="0" applyBorder="0" applyAlignment="0" applyProtection="0"/>
    <xf numFmtId="9" fontId="2" fillId="0" borderId="0" applyBorder="0" applyProtection="0"/>
    <xf numFmtId="0" fontId="2" fillId="0" borderId="0"/>
    <xf numFmtId="0" fontId="3" fillId="0" borderId="0"/>
  </cellStyleXfs>
  <cellXfs count="188">
    <xf numFmtId="0" fontId="0" fillId="0" borderId="0" xfId="0"/>
    <xf numFmtId="0" fontId="18" fillId="5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" fontId="12" fillId="5" borderId="1" xfId="3" applyNumberFormat="1" applyFont="1" applyFill="1" applyBorder="1" applyAlignment="1" applyProtection="1">
      <alignment horizontal="left" vertical="center"/>
    </xf>
    <xf numFmtId="0" fontId="9" fillId="3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center" vertical="center"/>
    </xf>
    <xf numFmtId="1" fontId="6" fillId="0" borderId="0" xfId="3" applyNumberFormat="1" applyFont="1" applyBorder="1" applyAlignment="1" applyProtection="1">
      <alignment horizontal="center" vertical="center"/>
    </xf>
    <xf numFmtId="1" fontId="5" fillId="0" borderId="0" xfId="3" applyNumberFormat="1" applyFont="1" applyBorder="1" applyAlignment="1" applyProtection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0" xfId="4" applyFont="1" applyFill="1" applyBorder="1" applyAlignment="1">
      <alignment horizontal="center"/>
    </xf>
    <xf numFmtId="4" fontId="10" fillId="4" borderId="0" xfId="4" applyNumberFormat="1" applyFont="1" applyFill="1" applyBorder="1" applyAlignment="1">
      <alignment horizontal="center"/>
    </xf>
    <xf numFmtId="2" fontId="11" fillId="4" borderId="0" xfId="4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 applyProtection="1">
      <alignment horizontal="center" vertical="center"/>
    </xf>
    <xf numFmtId="0" fontId="9" fillId="4" borderId="0" xfId="4" applyFont="1" applyFill="1" applyBorder="1" applyAlignment="1">
      <alignment horizontal="left" vertical="center"/>
    </xf>
    <xf numFmtId="0" fontId="11" fillId="4" borderId="0" xfId="4" applyFont="1" applyFill="1" applyBorder="1" applyAlignment="1">
      <alignment horizontal="left" vertical="center"/>
    </xf>
    <xf numFmtId="4" fontId="11" fillId="4" borderId="0" xfId="4" applyNumberFormat="1" applyFont="1" applyFill="1" applyBorder="1" applyAlignment="1">
      <alignment horizontal="center" vertical="center"/>
    </xf>
    <xf numFmtId="0" fontId="10" fillId="4" borderId="0" xfId="4" applyFont="1" applyFill="1" applyBorder="1" applyAlignment="1">
      <alignment vertical="center"/>
    </xf>
    <xf numFmtId="2" fontId="11" fillId="4" borderId="0" xfId="4" applyNumberFormat="1" applyFont="1" applyFill="1" applyBorder="1" applyAlignment="1">
      <alignment vertical="center"/>
    </xf>
    <xf numFmtId="2" fontId="9" fillId="4" borderId="1" xfId="4" applyNumberFormat="1" applyFont="1" applyFill="1" applyBorder="1" applyAlignment="1">
      <alignment vertical="center" wrapText="1"/>
    </xf>
    <xf numFmtId="49" fontId="11" fillId="4" borderId="1" xfId="1" applyNumberFormat="1" applyFont="1" applyFill="1" applyBorder="1" applyAlignment="1" applyProtection="1">
      <alignment horizontal="center" vertical="center" wrapText="1"/>
    </xf>
    <xf numFmtId="0" fontId="9" fillId="4" borderId="0" xfId="4" applyFont="1" applyFill="1" applyBorder="1" applyAlignment="1">
      <alignment horizontal="center" vertical="center"/>
    </xf>
    <xf numFmtId="4" fontId="11" fillId="4" borderId="0" xfId="4" applyNumberFormat="1" applyFont="1" applyFill="1" applyBorder="1" applyAlignment="1">
      <alignment horizontal="left" vertical="center"/>
    </xf>
    <xf numFmtId="2" fontId="11" fillId="4" borderId="1" xfId="4" applyNumberFormat="1" applyFont="1" applyFill="1" applyBorder="1" applyAlignment="1">
      <alignment vertical="center"/>
    </xf>
    <xf numFmtId="4" fontId="9" fillId="4" borderId="0" xfId="4" applyNumberFormat="1" applyFont="1" applyFill="1" applyBorder="1" applyAlignment="1">
      <alignment horizontal="left" vertical="center"/>
    </xf>
    <xf numFmtId="0" fontId="11" fillId="4" borderId="1" xfId="1" applyNumberFormat="1" applyFont="1" applyFill="1" applyBorder="1" applyAlignment="1" applyProtection="1">
      <alignment horizontal="center" vertical="center"/>
    </xf>
    <xf numFmtId="10" fontId="11" fillId="4" borderId="1" xfId="1" applyNumberFormat="1" applyFont="1" applyFill="1" applyBorder="1" applyAlignment="1" applyProtection="1">
      <alignment horizontal="center" vertical="center"/>
    </xf>
    <xf numFmtId="2" fontId="9" fillId="4" borderId="1" xfId="4" applyNumberFormat="1" applyFont="1" applyFill="1" applyBorder="1" applyAlignment="1">
      <alignment vertical="center"/>
    </xf>
    <xf numFmtId="0" fontId="0" fillId="0" borderId="0" xfId="0"/>
    <xf numFmtId="0" fontId="12" fillId="5" borderId="1" xfId="3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0" fontId="0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1" xfId="3" applyFont="1" applyBorder="1" applyAlignment="1" applyProtection="1">
      <alignment horizontal="center" vertical="center" wrapText="1"/>
    </xf>
    <xf numFmtId="0" fontId="1" fillId="0" borderId="1" xfId="3" applyFont="1" applyBorder="1" applyAlignment="1" applyProtection="1">
      <alignment horizontal="center" vertical="center" wrapText="1"/>
    </xf>
    <xf numFmtId="1" fontId="1" fillId="0" borderId="1" xfId="3" applyNumberFormat="1" applyFont="1" applyBorder="1" applyAlignment="1" applyProtection="1">
      <alignment horizontal="center" vertical="center"/>
    </xf>
    <xf numFmtId="1" fontId="1" fillId="0" borderId="1" xfId="3" applyNumberFormat="1" applyFont="1" applyBorder="1" applyAlignment="1" applyProtection="1">
      <alignment vertical="center"/>
    </xf>
    <xf numFmtId="1" fontId="1" fillId="0" borderId="1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10" fontId="0" fillId="0" borderId="1" xfId="0" applyNumberFormat="1" applyFont="1" applyBorder="1" applyAlignment="1">
      <alignment horizontal="center" vertical="center"/>
    </xf>
    <xf numFmtId="0" fontId="0" fillId="6" borderId="1" xfId="0" applyFont="1" applyFill="1" applyBorder="1" applyAlignment="1"/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Font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18" fillId="5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/>
    <xf numFmtId="166" fontId="18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/>
    <xf numFmtId="10" fontId="17" fillId="0" borderId="9" xfId="2" applyNumberFormat="1" applyFont="1" applyBorder="1" applyAlignment="1" applyProtection="1">
      <alignment horizontal="center" vertical="center"/>
    </xf>
    <xf numFmtId="164" fontId="18" fillId="0" borderId="9" xfId="2" applyNumberFormat="1" applyFont="1" applyBorder="1" applyAlignment="1" applyProtection="1">
      <alignment horizontal="center" vertical="center"/>
    </xf>
    <xf numFmtId="166" fontId="18" fillId="0" borderId="7" xfId="2" applyNumberFormat="1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18" fillId="5" borderId="10" xfId="0" applyFont="1" applyFill="1" applyBorder="1" applyAlignment="1">
      <alignment horizontal="center" vertical="center"/>
    </xf>
    <xf numFmtId="166" fontId="18" fillId="5" borderId="1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5" borderId="7" xfId="0" applyNumberFormat="1" applyFont="1" applyFill="1" applyBorder="1" applyAlignment="1">
      <alignment horizontal="center" vertical="center"/>
    </xf>
    <xf numFmtId="10" fontId="17" fillId="0" borderId="1" xfId="2" applyNumberFormat="1" applyFont="1" applyBorder="1" applyAlignment="1" applyProtection="1">
      <alignment horizontal="center" vertical="center"/>
    </xf>
    <xf numFmtId="166" fontId="18" fillId="5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4" borderId="0" xfId="0" applyFill="1"/>
    <xf numFmtId="0" fontId="20" fillId="4" borderId="0" xfId="0" applyFont="1" applyFill="1"/>
    <xf numFmtId="0" fontId="20" fillId="5" borderId="1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167" fontId="20" fillId="5" borderId="1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0" fontId="20" fillId="5" borderId="1" xfId="0" applyNumberFormat="1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0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9" borderId="1" xfId="3" applyFont="1" applyFill="1" applyBorder="1" applyAlignment="1" applyProtection="1">
      <alignment horizontal="center" vertical="center" wrapText="1"/>
    </xf>
    <xf numFmtId="1" fontId="6" fillId="9" borderId="1" xfId="3" applyNumberFormat="1" applyFont="1" applyFill="1" applyBorder="1" applyAlignment="1" applyProtection="1">
      <alignment horizontal="center" vertical="center"/>
    </xf>
    <xf numFmtId="1" fontId="5" fillId="9" borderId="1" xfId="3" applyNumberFormat="1" applyFont="1" applyFill="1" applyBorder="1" applyAlignment="1" applyProtection="1">
      <alignment horizontal="center" vertical="center"/>
    </xf>
    <xf numFmtId="49" fontId="6" fillId="9" borderId="1" xfId="3" applyNumberFormat="1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</cellXfs>
  <cellStyles count="5">
    <cellStyle name="ÌTENS 2" xfId="3"/>
    <cellStyle name="Moeda" xfId="1" builtinId="4"/>
    <cellStyle name="Normal" xfId="0" builtinId="0"/>
    <cellStyle name="Porcentagem" xfId="2" builtinId="5"/>
    <cellStyle name="Separador de milhares 14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89FD78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1948680</xdr:colOff>
      <xdr:row>1</xdr:row>
      <xdr:rowOff>3960</xdr:rowOff>
    </xdr:from>
    <xdr:to>
      <xdr:col>10</xdr:col>
      <xdr:colOff>706320</xdr:colOff>
      <xdr:row>1</xdr:row>
      <xdr:rowOff>846360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12040" y="194400"/>
          <a:ext cx="9429480" cy="842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9</xdr:col>
      <xdr:colOff>81720</xdr:colOff>
      <xdr:row>2</xdr:row>
      <xdr:rowOff>74160</xdr:rowOff>
    </xdr:to>
    <xdr:pic>
      <xdr:nvPicPr>
        <xdr:cNvPr id="0" name="Figura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63360" y="190440"/>
          <a:ext cx="9518040" cy="1000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84960</xdr:colOff>
      <xdr:row>1</xdr:row>
      <xdr:rowOff>107280</xdr:rowOff>
    </xdr:from>
    <xdr:to>
      <xdr:col>4</xdr:col>
      <xdr:colOff>904680</xdr:colOff>
      <xdr:row>1</xdr:row>
      <xdr:rowOff>799560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960" y="270000"/>
          <a:ext cx="8722800" cy="69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406800</xdr:colOff>
      <xdr:row>0</xdr:row>
      <xdr:rowOff>268560</xdr:rowOff>
    </xdr:from>
    <xdr:to>
      <xdr:col>5</xdr:col>
      <xdr:colOff>960480</xdr:colOff>
      <xdr:row>0</xdr:row>
      <xdr:rowOff>1004400</xdr:rowOff>
    </xdr:to>
    <xdr:pic>
      <xdr:nvPicPr>
        <xdr:cNvPr id="3" name="Imagem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6800" y="268560"/>
          <a:ext cx="11015280" cy="735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1593360</xdr:colOff>
      <xdr:row>29</xdr:row>
      <xdr:rowOff>60480</xdr:rowOff>
    </xdr:from>
    <xdr:to>
      <xdr:col>2</xdr:col>
      <xdr:colOff>21960</xdr:colOff>
      <xdr:row>33</xdr:row>
      <xdr:rowOff>162000</xdr:rowOff>
    </xdr:to>
    <xdr:sp macro="" textlink="">
      <xdr:nvSpPr>
        <xdr:cNvPr id="4" name="CustomShape 1"/>
        <xdr:cNvSpPr/>
      </xdr:nvSpPr>
      <xdr:spPr>
        <a:xfrm>
          <a:off x="1593360" y="9385560"/>
          <a:ext cx="5507640" cy="836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EDUARDO OLIVEIRA DOS SANTOS JUNIOR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/>
            </a:rPr>
            <a:t>        SECRETÁRIO DE OBRAS, INFRAESTRUTURA E URBANISMO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259920</xdr:colOff>
      <xdr:row>29</xdr:row>
      <xdr:rowOff>34560</xdr:rowOff>
    </xdr:from>
    <xdr:to>
      <xdr:col>7</xdr:col>
      <xdr:colOff>384840</xdr:colOff>
      <xdr:row>33</xdr:row>
      <xdr:rowOff>139680</xdr:rowOff>
    </xdr:to>
    <xdr:sp macro="" textlink="">
      <xdr:nvSpPr>
        <xdr:cNvPr id="5" name="CustomShape 2"/>
        <xdr:cNvSpPr/>
      </xdr:nvSpPr>
      <xdr:spPr>
        <a:xfrm>
          <a:off x="7338960" y="9359640"/>
          <a:ext cx="5410440" cy="8402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TALITA PEIXOTO DOS SANTOS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/>
            </a:rPr>
            <a:t> ARQUITETA E URBANISTA 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435600</xdr:colOff>
      <xdr:row>30</xdr:row>
      <xdr:rowOff>133560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627720" cy="501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13</xdr:col>
      <xdr:colOff>802440</xdr:colOff>
      <xdr:row>61</xdr:row>
      <xdr:rowOff>47520</xdr:rowOff>
    </xdr:to>
    <xdr:pic>
      <xdr:nvPicPr>
        <xdr:cNvPr id="7" name="Figura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202000"/>
          <a:ext cx="11368800" cy="476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14</xdr:col>
      <xdr:colOff>207720</xdr:colOff>
      <xdr:row>97</xdr:row>
      <xdr:rowOff>162000</xdr:rowOff>
    </xdr:to>
    <xdr:pic>
      <xdr:nvPicPr>
        <xdr:cNvPr id="8" name="Figura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10241280"/>
          <a:ext cx="11586960" cy="5689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I00000\Sudec\Obras%20P&#250;blicas\4.%20OBRAS%20-%20GERAL\10-2023_Constru&#231;&#227;o%20de%20Galp&#227;o%20da%20Merenda%20Escolar%20&#8211;%20SEED%20(Secretaria%20de%20Educa&#231;&#227;o)\Planilha%20Or&#231;amentaria_Galp&#227;o_Merenda_R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1"/>
  <sheetViews>
    <sheetView tabSelected="1" topLeftCell="B59" zoomScale="95" zoomScaleNormal="95" workbookViewId="0">
      <selection activeCell="J330" sqref="J330"/>
    </sheetView>
  </sheetViews>
  <sheetFormatPr defaultColWidth="11.5703125" defaultRowHeight="12.75"/>
  <cols>
    <col min="1" max="1" width="11.5703125" style="8" hidden="1"/>
    <col min="2" max="2" width="11.5703125" style="9"/>
    <col min="3" max="3" width="11.5703125" style="10"/>
    <col min="4" max="4" width="16.140625" style="10" customWidth="1"/>
    <col min="5" max="5" width="46.5703125" style="11" hidden="1" customWidth="1"/>
    <col min="6" max="6" width="80" style="12" customWidth="1"/>
    <col min="7" max="7" width="11.5703125" style="10"/>
    <col min="8" max="8" width="21.140625" style="10" customWidth="1"/>
    <col min="9" max="9" width="21.140625" style="13" customWidth="1"/>
    <col min="10" max="10" width="17.5703125" style="13" customWidth="1"/>
    <col min="11" max="11" width="22" style="12" customWidth="1"/>
    <col min="12" max="12" width="27.5703125" style="14" customWidth="1"/>
    <col min="13" max="16384" width="11.5703125" style="10"/>
  </cols>
  <sheetData>
    <row r="1" spans="1:14" s="24" customFormat="1" ht="15.75">
      <c r="A1" s="15"/>
      <c r="B1" s="16"/>
      <c r="C1" s="17"/>
      <c r="D1" s="18"/>
      <c r="E1" s="19"/>
      <c r="F1" s="19"/>
      <c r="G1" s="20"/>
      <c r="H1" s="20"/>
      <c r="I1" s="21"/>
      <c r="J1" s="21"/>
      <c r="K1" s="22"/>
      <c r="L1" s="23"/>
      <c r="M1"/>
    </row>
    <row r="2" spans="1:14" s="24" customFormat="1" ht="72.95" customHeight="1">
      <c r="A2" s="15"/>
      <c r="B2" s="16"/>
      <c r="C2" s="17"/>
      <c r="D2" s="18"/>
      <c r="E2" s="19"/>
      <c r="F2" s="19"/>
      <c r="G2" s="20"/>
      <c r="H2" s="20"/>
      <c r="I2" s="21"/>
      <c r="J2" s="21"/>
      <c r="K2" s="22"/>
      <c r="L2" s="23"/>
      <c r="M2"/>
    </row>
    <row r="3" spans="1:14" s="24" customFormat="1" ht="15.75">
      <c r="A3" s="15"/>
      <c r="B3" s="16"/>
      <c r="C3" s="17"/>
      <c r="D3" s="18"/>
      <c r="E3" s="19"/>
      <c r="F3" s="19"/>
      <c r="G3" s="20"/>
      <c r="H3" s="20"/>
      <c r="I3" s="21"/>
      <c r="J3" s="21"/>
      <c r="K3" s="22"/>
      <c r="L3" s="23"/>
      <c r="M3"/>
    </row>
    <row r="4" spans="1:14" s="24" customFormat="1" ht="16.5">
      <c r="A4" s="15"/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/>
    </row>
    <row r="5" spans="1:14" s="24" customFormat="1" ht="16.5">
      <c r="A5" s="15"/>
      <c r="B5" s="25"/>
      <c r="C5" s="25"/>
      <c r="D5" s="25"/>
      <c r="E5" s="25"/>
      <c r="F5" s="25"/>
      <c r="G5" s="26"/>
      <c r="H5" s="27"/>
      <c r="I5" s="27"/>
      <c r="J5" s="27"/>
      <c r="K5" s="28"/>
      <c r="L5" s="23"/>
      <c r="M5"/>
    </row>
    <row r="6" spans="1:14" s="24" customFormat="1" ht="16.5">
      <c r="A6" s="15"/>
      <c r="B6" s="29" t="s">
        <v>1</v>
      </c>
      <c r="C6" s="29"/>
      <c r="D6" s="29"/>
      <c r="E6" s="29"/>
      <c r="F6" s="30"/>
      <c r="G6" s="31"/>
      <c r="H6" s="32"/>
      <c r="I6" s="32"/>
      <c r="J6"/>
      <c r="K6" s="7" t="s">
        <v>2</v>
      </c>
      <c r="L6" s="7"/>
      <c r="M6"/>
      <c r="N6"/>
    </row>
    <row r="7" spans="1:14" s="24" customFormat="1" ht="16.5">
      <c r="A7" s="15"/>
      <c r="B7" s="29" t="s">
        <v>3</v>
      </c>
      <c r="C7" s="29"/>
      <c r="D7" s="29"/>
      <c r="E7" s="29"/>
      <c r="F7" s="30"/>
      <c r="G7" s="30"/>
      <c r="H7" s="33"/>
      <c r="I7" s="33"/>
      <c r="J7"/>
      <c r="K7" s="34" t="s">
        <v>4</v>
      </c>
      <c r="L7" s="35" t="s">
        <v>5</v>
      </c>
      <c r="M7"/>
      <c r="N7"/>
    </row>
    <row r="8" spans="1:14" s="24" customFormat="1" ht="33">
      <c r="A8" s="15"/>
      <c r="B8" s="36"/>
      <c r="C8" s="30"/>
      <c r="D8" s="30"/>
      <c r="E8" s="30"/>
      <c r="F8" s="30"/>
      <c r="G8" s="37"/>
      <c r="H8" s="33"/>
      <c r="I8" s="33"/>
      <c r="J8"/>
      <c r="K8" s="38" t="s">
        <v>6</v>
      </c>
      <c r="L8" s="35" t="s">
        <v>7</v>
      </c>
      <c r="M8"/>
      <c r="N8"/>
    </row>
    <row r="9" spans="1:14" s="24" customFormat="1" ht="16.5">
      <c r="A9" s="15"/>
      <c r="B9" s="36"/>
      <c r="C9" s="39"/>
      <c r="D9" s="30"/>
      <c r="E9" s="25"/>
      <c r="F9" s="30"/>
      <c r="G9" s="37"/>
      <c r="H9" s="33"/>
      <c r="I9" s="33"/>
      <c r="J9"/>
      <c r="K9" s="34" t="s">
        <v>8</v>
      </c>
      <c r="L9" s="40">
        <v>194</v>
      </c>
      <c r="M9"/>
      <c r="N9"/>
    </row>
    <row r="10" spans="1:14" s="24" customFormat="1" ht="16.5">
      <c r="A10" s="15"/>
      <c r="B10" s="36"/>
      <c r="C10" s="39"/>
      <c r="D10" s="30"/>
      <c r="E10" s="25"/>
      <c r="F10" s="30"/>
      <c r="G10" s="37"/>
      <c r="H10" s="33"/>
      <c r="I10" s="33"/>
      <c r="J10"/>
      <c r="K10" s="38" t="s">
        <v>6</v>
      </c>
      <c r="L10" s="41">
        <v>0.9778</v>
      </c>
      <c r="M10"/>
      <c r="N10"/>
    </row>
    <row r="11" spans="1:14" s="24" customFormat="1" ht="16.5">
      <c r="A11" s="15"/>
      <c r="B11" s="36"/>
      <c r="C11" s="39"/>
      <c r="D11" s="30"/>
      <c r="E11" s="25"/>
      <c r="F11" s="30"/>
      <c r="G11" s="37"/>
      <c r="H11" s="33"/>
      <c r="I11" s="33"/>
      <c r="J11"/>
      <c r="K11" s="42" t="s">
        <v>9</v>
      </c>
      <c r="L11" s="41">
        <v>0.25</v>
      </c>
      <c r="M11"/>
      <c r="N11"/>
    </row>
    <row r="12" spans="1:14" s="24" customFormat="1" ht="15" customHeight="1">
      <c r="A12" s="181" t="s">
        <v>10</v>
      </c>
      <c r="B12" s="181" t="s">
        <v>10</v>
      </c>
      <c r="C12" s="182" t="s">
        <v>11</v>
      </c>
      <c r="D12" s="183" t="s">
        <v>12</v>
      </c>
      <c r="E12" s="184" t="s">
        <v>13</v>
      </c>
      <c r="F12" s="184" t="s">
        <v>14</v>
      </c>
      <c r="G12" s="185" t="s">
        <v>15</v>
      </c>
      <c r="H12" s="185" t="s">
        <v>16</v>
      </c>
      <c r="I12" s="186" t="s">
        <v>17</v>
      </c>
      <c r="J12" s="186" t="s">
        <v>18</v>
      </c>
      <c r="K12" s="187" t="s">
        <v>19</v>
      </c>
      <c r="L12" s="187" t="s">
        <v>20</v>
      </c>
      <c r="M12"/>
    </row>
    <row r="13" spans="1:14" s="24" customFormat="1" ht="15">
      <c r="A13" s="181"/>
      <c r="B13" s="181"/>
      <c r="C13" s="182"/>
      <c r="D13" s="182"/>
      <c r="E13" s="184"/>
      <c r="F13" s="184"/>
      <c r="G13" s="185"/>
      <c r="H13" s="185"/>
      <c r="I13" s="186"/>
      <c r="J13" s="186"/>
      <c r="K13" s="187"/>
      <c r="L13" s="187"/>
      <c r="M13" s="43"/>
      <c r="N13" s="22"/>
    </row>
    <row r="14" spans="1:14" s="24" customFormat="1" ht="20.100000000000001" customHeight="1">
      <c r="A14" s="44">
        <v>1</v>
      </c>
      <c r="B14" s="44">
        <v>1</v>
      </c>
      <c r="C14" s="6" t="s">
        <v>21</v>
      </c>
      <c r="D14" s="6"/>
      <c r="E14" s="6"/>
      <c r="F14" s="6"/>
      <c r="G14" s="6"/>
      <c r="H14" s="6"/>
      <c r="I14" s="6"/>
      <c r="J14" s="45"/>
      <c r="K14" s="46"/>
      <c r="L14" s="47"/>
      <c r="M14" s="43"/>
    </row>
    <row r="15" spans="1:14" s="24" customFormat="1" ht="14.1" customHeight="1">
      <c r="A15" s="48" t="s">
        <v>22</v>
      </c>
      <c r="B15" s="49" t="s">
        <v>22</v>
      </c>
      <c r="C15" s="50" t="s">
        <v>23</v>
      </c>
      <c r="D15" s="50" t="s">
        <v>24</v>
      </c>
      <c r="E15" s="51" t="s">
        <v>25</v>
      </c>
      <c r="F15" s="52" t="s">
        <v>26</v>
      </c>
      <c r="G15" s="53" t="s">
        <v>27</v>
      </c>
      <c r="H15" s="53">
        <v>2.88</v>
      </c>
      <c r="I15" s="54">
        <v>929.16</v>
      </c>
      <c r="J15" s="54">
        <f>H15*I15</f>
        <v>2675.9807999999998</v>
      </c>
      <c r="K15" s="55">
        <f>I15*(1+$L$11)</f>
        <v>1161.45</v>
      </c>
      <c r="L15" s="55">
        <f>H15*K15</f>
        <v>3344.9760000000001</v>
      </c>
      <c r="M15" s="56"/>
    </row>
    <row r="16" spans="1:14" s="59" customFormat="1" ht="18.600000000000001" customHeight="1">
      <c r="A16" s="44">
        <v>2</v>
      </c>
      <c r="B16" s="44">
        <v>2</v>
      </c>
      <c r="C16" s="6" t="s">
        <v>28</v>
      </c>
      <c r="D16" s="6"/>
      <c r="E16" s="6"/>
      <c r="F16" s="6"/>
      <c r="G16" s="6"/>
      <c r="H16" s="6"/>
      <c r="I16" s="6"/>
      <c r="J16" s="45"/>
      <c r="K16" s="57"/>
      <c r="L16" s="58"/>
    </row>
    <row r="17" spans="1:12">
      <c r="A17" s="60" t="s">
        <v>29</v>
      </c>
      <c r="B17" s="61" t="s">
        <v>29</v>
      </c>
      <c r="C17" s="62" t="s">
        <v>30</v>
      </c>
      <c r="D17" s="62">
        <v>1</v>
      </c>
      <c r="E17" s="63" t="s">
        <v>31</v>
      </c>
      <c r="F17" s="64" t="s">
        <v>32</v>
      </c>
      <c r="G17" s="62" t="s">
        <v>33</v>
      </c>
      <c r="H17" s="62">
        <f>9.63+5.6-1</f>
        <v>14.23</v>
      </c>
      <c r="I17" s="65">
        <f>'Composição de Preços'!F10</f>
        <v>1178.9754294545453</v>
      </c>
      <c r="J17" s="55">
        <f t="shared" ref="J17:J26" si="0">H17*I17</f>
        <v>16776.82036113818</v>
      </c>
      <c r="K17" s="55">
        <f t="shared" ref="K17:K26" si="1">I17*(1+$L$11)</f>
        <v>1473.7192868181817</v>
      </c>
      <c r="L17" s="55">
        <f t="shared" ref="L17:L26" si="2">H17*K17</f>
        <v>20971.025451422727</v>
      </c>
    </row>
    <row r="18" spans="1:12">
      <c r="A18" s="60"/>
      <c r="B18" s="61" t="s">
        <v>34</v>
      </c>
      <c r="C18" s="62" t="s">
        <v>23</v>
      </c>
      <c r="D18" s="62" t="s">
        <v>35</v>
      </c>
      <c r="E18" s="63"/>
      <c r="F18" s="64" t="s">
        <v>36</v>
      </c>
      <c r="G18" s="62" t="s">
        <v>27</v>
      </c>
      <c r="H18" s="66">
        <f>(1.4*1)</f>
        <v>1.4</v>
      </c>
      <c r="I18" s="65">
        <v>982.44</v>
      </c>
      <c r="J18" s="55">
        <f t="shared" si="0"/>
        <v>1375.4159999999999</v>
      </c>
      <c r="K18" s="55">
        <f t="shared" si="1"/>
        <v>1228.0500000000002</v>
      </c>
      <c r="L18" s="55">
        <f t="shared" si="2"/>
        <v>1719.2700000000002</v>
      </c>
    </row>
    <row r="19" spans="1:12">
      <c r="A19" s="60"/>
      <c r="B19" s="61" t="s">
        <v>37</v>
      </c>
      <c r="C19" s="53" t="s">
        <v>23</v>
      </c>
      <c r="D19" s="67" t="s">
        <v>38</v>
      </c>
      <c r="E19" s="68" t="s">
        <v>39</v>
      </c>
      <c r="F19" s="68" t="s">
        <v>39</v>
      </c>
      <c r="G19" s="69" t="s">
        <v>33</v>
      </c>
      <c r="H19" s="70">
        <f>(0.19*4)*8</f>
        <v>6.08</v>
      </c>
      <c r="I19" s="71">
        <v>5.19</v>
      </c>
      <c r="J19" s="55">
        <f t="shared" si="0"/>
        <v>31.555200000000003</v>
      </c>
      <c r="K19" s="55">
        <f t="shared" si="1"/>
        <v>6.4875000000000007</v>
      </c>
      <c r="L19" s="55">
        <f t="shared" si="2"/>
        <v>39.444000000000003</v>
      </c>
    </row>
    <row r="20" spans="1:12">
      <c r="A20" s="60"/>
      <c r="B20" s="61" t="s">
        <v>40</v>
      </c>
      <c r="C20" s="62" t="s">
        <v>23</v>
      </c>
      <c r="D20" s="67" t="s">
        <v>41</v>
      </c>
      <c r="E20" s="72" t="s">
        <v>42</v>
      </c>
      <c r="F20" s="68" t="s">
        <v>42</v>
      </c>
      <c r="G20" s="62" t="s">
        <v>43</v>
      </c>
      <c r="H20" s="66">
        <f>((0.19*0.19*0.19)*8)+(((0.1^2)*PI()*1)*8)</f>
        <v>0.3061994122871835</v>
      </c>
      <c r="I20" s="65">
        <v>204.27</v>
      </c>
      <c r="J20" s="55">
        <f t="shared" si="0"/>
        <v>62.547353947902977</v>
      </c>
      <c r="K20" s="55">
        <f t="shared" si="1"/>
        <v>255.33750000000001</v>
      </c>
      <c r="L20" s="55">
        <f t="shared" si="2"/>
        <v>78.184192434878724</v>
      </c>
    </row>
    <row r="21" spans="1:12">
      <c r="A21" s="60"/>
      <c r="B21" s="61" t="s">
        <v>44</v>
      </c>
      <c r="C21" s="62" t="s">
        <v>23</v>
      </c>
      <c r="D21" s="62" t="s">
        <v>45</v>
      </c>
      <c r="E21" s="63"/>
      <c r="F21" s="64" t="s">
        <v>46</v>
      </c>
      <c r="G21" s="62" t="s">
        <v>43</v>
      </c>
      <c r="H21" s="66">
        <f>((0.1^2)*PI()*0.03)*8</f>
        <v>7.5398223686155043E-3</v>
      </c>
      <c r="I21" s="65">
        <v>199.78</v>
      </c>
      <c r="J21" s="55">
        <f t="shared" si="0"/>
        <v>1.5063057128020054</v>
      </c>
      <c r="K21" s="55">
        <f t="shared" si="1"/>
        <v>249.72499999999999</v>
      </c>
      <c r="L21" s="55">
        <f t="shared" si="2"/>
        <v>1.8828821410025067</v>
      </c>
    </row>
    <row r="22" spans="1:12" ht="15">
      <c r="A22" s="60"/>
      <c r="B22" s="61" t="s">
        <v>47</v>
      </c>
      <c r="C22" s="53" t="s">
        <v>23</v>
      </c>
      <c r="D22" s="73" t="s">
        <v>48</v>
      </c>
      <c r="E22" s="63"/>
      <c r="F22" s="64" t="s">
        <v>49</v>
      </c>
      <c r="G22" s="62" t="s">
        <v>43</v>
      </c>
      <c r="H22" s="66">
        <f>((0.19*0.19*0.19)*8)+(((0.1^2)*PI()*1)*8)</f>
        <v>0.3061994122871835</v>
      </c>
      <c r="I22" s="65">
        <v>495.97</v>
      </c>
      <c r="J22" s="55">
        <f t="shared" si="0"/>
        <v>151.8657225120744</v>
      </c>
      <c r="K22" s="55">
        <f t="shared" si="1"/>
        <v>619.96250000000009</v>
      </c>
      <c r="L22" s="55">
        <f t="shared" si="2"/>
        <v>189.83215314009303</v>
      </c>
    </row>
    <row r="23" spans="1:12">
      <c r="A23" s="60"/>
      <c r="B23" s="61" t="s">
        <v>50</v>
      </c>
      <c r="C23" s="62" t="s">
        <v>23</v>
      </c>
      <c r="D23" s="67" t="s">
        <v>51</v>
      </c>
      <c r="E23" s="63"/>
      <c r="F23" s="64" t="s">
        <v>52</v>
      </c>
      <c r="G23" s="62" t="s">
        <v>43</v>
      </c>
      <c r="H23" s="66">
        <f>((0.19*0.19*0.19)*8)+(((0.1^2)*PI()*1)*8)</f>
        <v>0.3061994122871835</v>
      </c>
      <c r="I23" s="65">
        <v>108.2</v>
      </c>
      <c r="J23" s="55">
        <f t="shared" si="0"/>
        <v>33.130776409473256</v>
      </c>
      <c r="K23" s="55">
        <f t="shared" si="1"/>
        <v>135.25</v>
      </c>
      <c r="L23" s="55">
        <f t="shared" si="2"/>
        <v>41.413470511841567</v>
      </c>
    </row>
    <row r="24" spans="1:12">
      <c r="A24" s="60"/>
      <c r="B24" s="61" t="s">
        <v>53</v>
      </c>
      <c r="C24" s="62" t="s">
        <v>23</v>
      </c>
      <c r="D24" s="62" t="s">
        <v>54</v>
      </c>
      <c r="E24" s="63" t="s">
        <v>55</v>
      </c>
      <c r="F24" s="74" t="s">
        <v>56</v>
      </c>
      <c r="G24" s="62" t="s">
        <v>27</v>
      </c>
      <c r="H24" s="66">
        <f>H17*1.4*2</f>
        <v>39.844000000000001</v>
      </c>
      <c r="I24" s="65">
        <v>44.69</v>
      </c>
      <c r="J24" s="55">
        <f t="shared" si="0"/>
        <v>1780.6283599999999</v>
      </c>
      <c r="K24" s="55">
        <f t="shared" si="1"/>
        <v>55.862499999999997</v>
      </c>
      <c r="L24" s="55">
        <f t="shared" si="2"/>
        <v>2225.7854499999999</v>
      </c>
    </row>
    <row r="25" spans="1:12">
      <c r="A25" s="60"/>
      <c r="B25" s="61" t="s">
        <v>57</v>
      </c>
      <c r="C25" s="62" t="s">
        <v>23</v>
      </c>
      <c r="D25" s="62" t="s">
        <v>58</v>
      </c>
      <c r="E25" s="63"/>
      <c r="F25" s="74" t="s">
        <v>59</v>
      </c>
      <c r="G25" s="62" t="s">
        <v>33</v>
      </c>
      <c r="H25" s="66">
        <f>9.63+0.5</f>
        <v>10.130000000000001</v>
      </c>
      <c r="I25" s="65">
        <v>11.02</v>
      </c>
      <c r="J25" s="55">
        <f t="shared" si="0"/>
        <v>111.63260000000001</v>
      </c>
      <c r="K25" s="55">
        <f t="shared" si="1"/>
        <v>13.774999999999999</v>
      </c>
      <c r="L25" s="55">
        <f t="shared" si="2"/>
        <v>139.54075</v>
      </c>
    </row>
    <row r="26" spans="1:12" ht="25.5">
      <c r="A26" s="60"/>
      <c r="B26" s="61" t="s">
        <v>60</v>
      </c>
      <c r="C26" s="67" t="s">
        <v>23</v>
      </c>
      <c r="D26" s="67" t="s">
        <v>61</v>
      </c>
      <c r="E26" s="64"/>
      <c r="F26" s="75" t="s">
        <v>62</v>
      </c>
      <c r="G26" s="67" t="s">
        <v>27</v>
      </c>
      <c r="H26" s="69">
        <v>0.38</v>
      </c>
      <c r="I26" s="55">
        <v>128.71</v>
      </c>
      <c r="J26" s="55">
        <f t="shared" si="0"/>
        <v>48.909800000000004</v>
      </c>
      <c r="K26" s="55">
        <f t="shared" si="1"/>
        <v>160.88750000000002</v>
      </c>
      <c r="L26" s="55">
        <f t="shared" si="2"/>
        <v>61.137250000000009</v>
      </c>
    </row>
    <row r="27" spans="1:12" ht="15" hidden="1">
      <c r="A27" s="60"/>
      <c r="B27" s="76"/>
      <c r="C27" s="67"/>
      <c r="D27" s="67"/>
      <c r="E27" s="64"/>
      <c r="F27" s="77" t="s">
        <v>63</v>
      </c>
      <c r="G27" s="67"/>
      <c r="H27" s="69"/>
      <c r="I27" s="55"/>
      <c r="J27" s="55"/>
      <c r="K27" s="55"/>
      <c r="L27" s="78"/>
    </row>
    <row r="28" spans="1:12" s="59" customFormat="1" ht="20.45" customHeight="1">
      <c r="A28" s="79">
        <v>3</v>
      </c>
      <c r="B28" s="79">
        <v>3</v>
      </c>
      <c r="C28" s="5" t="s">
        <v>64</v>
      </c>
      <c r="D28" s="5"/>
      <c r="E28" s="5"/>
      <c r="F28" s="5"/>
      <c r="G28" s="5"/>
      <c r="H28" s="5"/>
      <c r="I28" s="5"/>
      <c r="J28" s="45"/>
      <c r="K28" s="57"/>
      <c r="L28" s="58"/>
    </row>
    <row r="29" spans="1:12">
      <c r="A29" s="80" t="s">
        <v>65</v>
      </c>
      <c r="B29" s="53" t="s">
        <v>65</v>
      </c>
      <c r="C29" s="67" t="s">
        <v>66</v>
      </c>
      <c r="D29" s="67" t="s">
        <v>67</v>
      </c>
      <c r="E29" s="63" t="s">
        <v>68</v>
      </c>
      <c r="F29" s="74" t="s">
        <v>69</v>
      </c>
      <c r="G29" s="67" t="s">
        <v>33</v>
      </c>
      <c r="H29" s="69">
        <f>2.7+2.7</f>
        <v>5.4</v>
      </c>
      <c r="I29" s="55">
        <v>816.14</v>
      </c>
      <c r="J29" s="55">
        <f>H29*I29</f>
        <v>4407.1559999999999</v>
      </c>
      <c r="K29" s="55">
        <f>I29*(1+$L$11)</f>
        <v>1020.175</v>
      </c>
      <c r="L29" s="55">
        <f>H29*K29</f>
        <v>5508.9449999999997</v>
      </c>
    </row>
    <row r="30" spans="1:12">
      <c r="A30" s="80" t="s">
        <v>70</v>
      </c>
      <c r="B30" s="53" t="s">
        <v>70</v>
      </c>
      <c r="C30" s="67" t="s">
        <v>23</v>
      </c>
      <c r="D30" s="67" t="s">
        <v>71</v>
      </c>
      <c r="E30" s="63" t="s">
        <v>72</v>
      </c>
      <c r="F30" s="64" t="s">
        <v>73</v>
      </c>
      <c r="G30" s="53" t="s">
        <v>27</v>
      </c>
      <c r="H30" s="81">
        <f>3.1*2.4</f>
        <v>7.4399999999999995</v>
      </c>
      <c r="I30" s="55">
        <v>28.83</v>
      </c>
      <c r="J30" s="55">
        <f>H30*I30</f>
        <v>214.49519999999998</v>
      </c>
      <c r="K30" s="55">
        <f>I30*(1+$L$11)</f>
        <v>36.037499999999994</v>
      </c>
      <c r="L30" s="55">
        <f>H30*K30</f>
        <v>268.11899999999991</v>
      </c>
    </row>
    <row r="31" spans="1:12" hidden="1">
      <c r="A31" s="80" t="s">
        <v>74</v>
      </c>
      <c r="B31" s="53"/>
      <c r="C31" s="67" t="s">
        <v>75</v>
      </c>
      <c r="D31" s="67" t="s">
        <v>76</v>
      </c>
      <c r="E31" s="82" t="s">
        <v>77</v>
      </c>
      <c r="F31" s="83" t="s">
        <v>78</v>
      </c>
      <c r="G31" s="53" t="s">
        <v>27</v>
      </c>
      <c r="H31" s="81">
        <f>1.8*2.45</f>
        <v>4.41</v>
      </c>
      <c r="I31" s="55">
        <v>77.400000000000006</v>
      </c>
      <c r="J31" s="55"/>
      <c r="K31" s="84"/>
      <c r="L31" s="55"/>
    </row>
    <row r="32" spans="1:12" hidden="1">
      <c r="A32" s="80"/>
      <c r="B32" s="53"/>
      <c r="C32" s="67" t="s">
        <v>75</v>
      </c>
      <c r="D32" s="67" t="s">
        <v>79</v>
      </c>
      <c r="E32" s="64" t="s">
        <v>80</v>
      </c>
      <c r="F32" s="83" t="s">
        <v>81</v>
      </c>
      <c r="G32" s="53" t="s">
        <v>43</v>
      </c>
      <c r="H32" s="81">
        <f>(0.125^2*PI()*3)</f>
        <v>0.14726215563702155</v>
      </c>
      <c r="I32" s="55">
        <v>44.1</v>
      </c>
      <c r="J32" s="55"/>
      <c r="K32" s="84"/>
      <c r="L32" s="55"/>
    </row>
    <row r="33" spans="1:12" hidden="1">
      <c r="A33" s="80"/>
      <c r="B33" s="53"/>
      <c r="C33" s="67" t="s">
        <v>75</v>
      </c>
      <c r="D33" s="67" t="s">
        <v>82</v>
      </c>
      <c r="E33" s="64" t="s">
        <v>83</v>
      </c>
      <c r="F33" s="83" t="s">
        <v>84</v>
      </c>
      <c r="G33" s="53" t="s">
        <v>27</v>
      </c>
      <c r="H33" s="81">
        <f>2.4*4*0.3</f>
        <v>2.88</v>
      </c>
      <c r="I33" s="55">
        <v>234.41</v>
      </c>
      <c r="J33" s="55"/>
      <c r="K33" s="84"/>
      <c r="L33" s="55"/>
    </row>
    <row r="34" spans="1:12" hidden="1">
      <c r="A34" s="80"/>
      <c r="B34" s="53"/>
      <c r="C34" s="67" t="s">
        <v>75</v>
      </c>
      <c r="D34" s="67" t="s">
        <v>85</v>
      </c>
      <c r="E34" s="64" t="s">
        <v>86</v>
      </c>
      <c r="F34" s="83" t="s">
        <v>87</v>
      </c>
      <c r="G34" s="53" t="s">
        <v>88</v>
      </c>
      <c r="H34" s="81">
        <f>5.4*4*0.617</f>
        <v>13.327200000000001</v>
      </c>
      <c r="I34" s="55">
        <v>10.11</v>
      </c>
      <c r="J34" s="55"/>
      <c r="K34" s="84"/>
      <c r="L34" s="55"/>
    </row>
    <row r="35" spans="1:12" hidden="1">
      <c r="A35" s="80"/>
      <c r="B35" s="53"/>
      <c r="C35" s="67" t="s">
        <v>75</v>
      </c>
      <c r="D35" s="67" t="s">
        <v>89</v>
      </c>
      <c r="E35" s="64" t="s">
        <v>90</v>
      </c>
      <c r="F35" s="83" t="s">
        <v>91</v>
      </c>
      <c r="G35" s="53" t="s">
        <v>88</v>
      </c>
      <c r="H35" s="81">
        <f>5.4/0.15*1.06*0.154</f>
        <v>5.8766400000000019</v>
      </c>
      <c r="I35" s="55">
        <v>10.36</v>
      </c>
      <c r="J35" s="55"/>
      <c r="K35" s="84"/>
      <c r="L35" s="55"/>
    </row>
    <row r="36" spans="1:12" ht="15" hidden="1">
      <c r="A36" s="80"/>
      <c r="B36" s="53"/>
      <c r="C36" s="67" t="s">
        <v>75</v>
      </c>
      <c r="D36" s="73" t="s">
        <v>48</v>
      </c>
      <c r="E36" s="64" t="s">
        <v>92</v>
      </c>
      <c r="F36" s="83" t="s">
        <v>49</v>
      </c>
      <c r="G36" s="53" t="s">
        <v>43</v>
      </c>
      <c r="H36" s="81">
        <f>(0.125^2*PI()*3)+0.3*0.3*2.4</f>
        <v>0.36326215563702158</v>
      </c>
      <c r="I36" s="55">
        <v>475.24</v>
      </c>
      <c r="J36" s="55"/>
      <c r="K36" s="84"/>
      <c r="L36" s="55"/>
    </row>
    <row r="37" spans="1:12" hidden="1">
      <c r="A37" s="80"/>
      <c r="B37" s="53"/>
      <c r="C37" s="67" t="s">
        <v>75</v>
      </c>
      <c r="D37" s="67" t="s">
        <v>51</v>
      </c>
      <c r="E37" s="64" t="s">
        <v>93</v>
      </c>
      <c r="F37" s="83" t="s">
        <v>52</v>
      </c>
      <c r="G37" s="53" t="s">
        <v>43</v>
      </c>
      <c r="H37" s="81">
        <f>H36</f>
        <v>0.36326215563702158</v>
      </c>
      <c r="I37" s="55">
        <v>102.78</v>
      </c>
      <c r="J37" s="55"/>
      <c r="K37" s="84"/>
      <c r="L37" s="55"/>
    </row>
    <row r="38" spans="1:12">
      <c r="A38" s="80" t="s">
        <v>94</v>
      </c>
      <c r="B38" s="53" t="s">
        <v>95</v>
      </c>
      <c r="C38" s="67" t="s">
        <v>23</v>
      </c>
      <c r="D38" s="67" t="s">
        <v>96</v>
      </c>
      <c r="E38" s="63" t="s">
        <v>97</v>
      </c>
      <c r="F38" s="83" t="s">
        <v>98</v>
      </c>
      <c r="G38" s="53" t="s">
        <v>33</v>
      </c>
      <c r="H38" s="53">
        <v>10.56</v>
      </c>
      <c r="I38" s="55">
        <v>26.96</v>
      </c>
      <c r="J38" s="55">
        <f t="shared" ref="J38:J48" si="3">H38*I38</f>
        <v>284.69760000000002</v>
      </c>
      <c r="K38" s="55">
        <f>I38*(1+$L$11)</f>
        <v>33.700000000000003</v>
      </c>
      <c r="L38" s="55">
        <f t="shared" ref="L38:L48" si="4">H38*K38</f>
        <v>355.87200000000007</v>
      </c>
    </row>
    <row r="39" spans="1:12">
      <c r="A39" s="80"/>
      <c r="B39" s="53" t="s">
        <v>74</v>
      </c>
      <c r="C39" s="67" t="s">
        <v>23</v>
      </c>
      <c r="D39" s="67" t="s">
        <v>99</v>
      </c>
      <c r="E39" s="82" t="s">
        <v>100</v>
      </c>
      <c r="F39" s="64" t="s">
        <v>101</v>
      </c>
      <c r="G39" s="67" t="s">
        <v>27</v>
      </c>
      <c r="H39" s="69">
        <f>3.1*2.4</f>
        <v>7.4399999999999995</v>
      </c>
      <c r="I39" s="55">
        <v>873.08</v>
      </c>
      <c r="J39" s="55">
        <f t="shared" si="3"/>
        <v>6495.7151999999996</v>
      </c>
      <c r="K39" s="55">
        <f>I39*(1+$L$11)</f>
        <v>1091.3500000000001</v>
      </c>
      <c r="L39" s="55">
        <f t="shared" si="4"/>
        <v>8119.6440000000002</v>
      </c>
    </row>
    <row r="40" spans="1:12">
      <c r="A40" s="80"/>
      <c r="B40" s="53" t="s">
        <v>94</v>
      </c>
      <c r="C40" s="67" t="s">
        <v>23</v>
      </c>
      <c r="D40" s="67" t="s">
        <v>102</v>
      </c>
      <c r="E40" s="85" t="s">
        <v>103</v>
      </c>
      <c r="F40" s="64" t="s">
        <v>104</v>
      </c>
      <c r="G40" s="67" t="s">
        <v>27</v>
      </c>
      <c r="H40" s="69">
        <f>3.1*2.4</f>
        <v>7.4399999999999995</v>
      </c>
      <c r="I40" s="65">
        <v>288.08</v>
      </c>
      <c r="J40" s="55">
        <f t="shared" si="3"/>
        <v>2143.3151999999995</v>
      </c>
      <c r="K40" s="55">
        <f>I40*(1+$L$11)</f>
        <v>360.09999999999997</v>
      </c>
      <c r="L40" s="55">
        <f t="shared" si="4"/>
        <v>2679.1439999999998</v>
      </c>
    </row>
    <row r="41" spans="1:12">
      <c r="A41" s="80"/>
      <c r="B41" s="53" t="s">
        <v>105</v>
      </c>
      <c r="C41" s="67" t="s">
        <v>23</v>
      </c>
      <c r="D41" s="67" t="s">
        <v>106</v>
      </c>
      <c r="E41" s="85"/>
      <c r="F41" s="64" t="s">
        <v>107</v>
      </c>
      <c r="G41" s="67" t="s">
        <v>108</v>
      </c>
      <c r="H41" s="86">
        <v>1</v>
      </c>
      <c r="I41" s="65">
        <v>225.21</v>
      </c>
      <c r="J41" s="55">
        <f t="shared" si="3"/>
        <v>225.21</v>
      </c>
      <c r="K41" s="55">
        <f>I41*(1+$L$11)</f>
        <v>281.51249999999999</v>
      </c>
      <c r="L41" s="55">
        <f t="shared" si="4"/>
        <v>281.51249999999999</v>
      </c>
    </row>
    <row r="42" spans="1:12">
      <c r="A42" s="80"/>
      <c r="B42" s="53" t="s">
        <v>109</v>
      </c>
      <c r="C42" s="67" t="s">
        <v>23</v>
      </c>
      <c r="D42" s="67" t="s">
        <v>110</v>
      </c>
      <c r="E42" s="85"/>
      <c r="F42" s="64" t="s">
        <v>111</v>
      </c>
      <c r="G42" s="67" t="s">
        <v>108</v>
      </c>
      <c r="H42" s="86">
        <v>1</v>
      </c>
      <c r="I42" s="65">
        <v>457.11</v>
      </c>
      <c r="J42" s="55">
        <f t="shared" si="3"/>
        <v>457.11</v>
      </c>
      <c r="K42" s="55">
        <f>I42*(1+$L$11)</f>
        <v>571.38750000000005</v>
      </c>
      <c r="L42" s="55">
        <f t="shared" si="4"/>
        <v>571.38750000000005</v>
      </c>
    </row>
    <row r="43" spans="1:12" hidden="1">
      <c r="A43" s="80"/>
      <c r="B43" s="53" t="s">
        <v>112</v>
      </c>
      <c r="C43" s="67" t="s">
        <v>23</v>
      </c>
      <c r="D43" s="67" t="s">
        <v>79</v>
      </c>
      <c r="E43" s="82" t="s">
        <v>113</v>
      </c>
      <c r="F43" s="64" t="s">
        <v>81</v>
      </c>
      <c r="G43" s="67" t="s">
        <v>43</v>
      </c>
      <c r="H43" s="69">
        <f>0.2*0.2*(1.45*2)</f>
        <v>0.11600000000000002</v>
      </c>
      <c r="I43" s="55">
        <v>46.43</v>
      </c>
      <c r="J43" s="55">
        <f t="shared" si="3"/>
        <v>5.3858800000000011</v>
      </c>
      <c r="K43" s="55"/>
      <c r="L43" s="55">
        <f t="shared" si="4"/>
        <v>0</v>
      </c>
    </row>
    <row r="44" spans="1:12" hidden="1">
      <c r="A44" s="80"/>
      <c r="B44" s="53" t="s">
        <v>114</v>
      </c>
      <c r="C44" s="67" t="s">
        <v>23</v>
      </c>
      <c r="D44" s="67" t="s">
        <v>45</v>
      </c>
      <c r="E44" s="82" t="s">
        <v>115</v>
      </c>
      <c r="F44" s="64" t="s">
        <v>46</v>
      </c>
      <c r="G44" s="67" t="s">
        <v>43</v>
      </c>
      <c r="H44" s="69">
        <f>(1.45*2)*0.2*0.03</f>
        <v>1.7399999999999999E-2</v>
      </c>
      <c r="I44" s="55">
        <v>199.78</v>
      </c>
      <c r="J44" s="55">
        <f t="shared" si="3"/>
        <v>3.4761719999999996</v>
      </c>
      <c r="K44" s="55"/>
      <c r="L44" s="55">
        <f t="shared" si="4"/>
        <v>0</v>
      </c>
    </row>
    <row r="45" spans="1:12" ht="15" hidden="1">
      <c r="A45" s="80"/>
      <c r="B45" s="53" t="s">
        <v>116</v>
      </c>
      <c r="C45" s="67" t="s">
        <v>23</v>
      </c>
      <c r="D45" s="73" t="s">
        <v>48</v>
      </c>
      <c r="E45" s="64" t="s">
        <v>117</v>
      </c>
      <c r="F45" s="83" t="s">
        <v>49</v>
      </c>
      <c r="G45" s="67" t="s">
        <v>43</v>
      </c>
      <c r="H45" s="69">
        <f>0.2*0.2*(1.45*2)</f>
        <v>0.11600000000000002</v>
      </c>
      <c r="I45" s="55">
        <v>495.97</v>
      </c>
      <c r="J45" s="55">
        <f t="shared" si="3"/>
        <v>57.532520000000012</v>
      </c>
      <c r="K45" s="55"/>
      <c r="L45" s="55">
        <f t="shared" si="4"/>
        <v>0</v>
      </c>
    </row>
    <row r="46" spans="1:12" hidden="1">
      <c r="A46" s="80"/>
      <c r="B46" s="53" t="s">
        <v>118</v>
      </c>
      <c r="C46" s="67" t="s">
        <v>23</v>
      </c>
      <c r="D46" s="67" t="s">
        <v>51</v>
      </c>
      <c r="E46" s="64" t="s">
        <v>119</v>
      </c>
      <c r="F46" s="83" t="s">
        <v>52</v>
      </c>
      <c r="G46" s="67" t="s">
        <v>43</v>
      </c>
      <c r="H46" s="69">
        <f>0.2*0.2*(1.45*2)</f>
        <v>0.11600000000000002</v>
      </c>
      <c r="I46" s="55">
        <v>108.2</v>
      </c>
      <c r="J46" s="55">
        <f t="shared" si="3"/>
        <v>12.551200000000003</v>
      </c>
      <c r="K46" s="55"/>
      <c r="L46" s="55">
        <f t="shared" si="4"/>
        <v>0</v>
      </c>
    </row>
    <row r="47" spans="1:12" hidden="1">
      <c r="A47" s="80"/>
      <c r="B47" s="53" t="s">
        <v>120</v>
      </c>
      <c r="C47" s="67" t="s">
        <v>23</v>
      </c>
      <c r="D47" s="67" t="s">
        <v>85</v>
      </c>
      <c r="E47" s="64" t="s">
        <v>121</v>
      </c>
      <c r="F47" s="83" t="s">
        <v>87</v>
      </c>
      <c r="G47" s="67" t="s">
        <v>88</v>
      </c>
      <c r="H47" s="69">
        <f>(1.45*2)*4*0.617</f>
        <v>7.1571999999999996</v>
      </c>
      <c r="I47" s="55">
        <v>10.220000000000001</v>
      </c>
      <c r="J47" s="55">
        <f t="shared" si="3"/>
        <v>73.146584000000004</v>
      </c>
      <c r="K47" s="55"/>
      <c r="L47" s="55">
        <f t="shared" si="4"/>
        <v>0</v>
      </c>
    </row>
    <row r="48" spans="1:12" hidden="1">
      <c r="A48" s="80"/>
      <c r="B48" s="53" t="s">
        <v>122</v>
      </c>
      <c r="C48" s="67" t="s">
        <v>23</v>
      </c>
      <c r="D48" s="67" t="s">
        <v>89</v>
      </c>
      <c r="E48" s="64" t="s">
        <v>123</v>
      </c>
      <c r="F48" s="83" t="s">
        <v>91</v>
      </c>
      <c r="G48" s="67" t="s">
        <v>88</v>
      </c>
      <c r="H48" s="69">
        <f>(1.45*2/0.15)*0.72*0.154</f>
        <v>2.1436799999999998</v>
      </c>
      <c r="I48" s="55">
        <v>10.25</v>
      </c>
      <c r="J48" s="55">
        <f t="shared" si="3"/>
        <v>21.972719999999999</v>
      </c>
      <c r="K48" s="55"/>
      <c r="L48" s="55">
        <f t="shared" si="4"/>
        <v>0</v>
      </c>
    </row>
    <row r="49" spans="1:12" hidden="1">
      <c r="A49" s="80"/>
      <c r="B49" s="87"/>
      <c r="C49" s="67"/>
      <c r="D49" s="67"/>
      <c r="E49" s="88" t="s">
        <v>124</v>
      </c>
      <c r="F49" s="64"/>
      <c r="G49" s="67"/>
      <c r="H49" s="67"/>
      <c r="I49" s="55"/>
      <c r="J49" s="55"/>
      <c r="K49" s="84"/>
      <c r="L49" s="53"/>
    </row>
    <row r="50" spans="1:12" ht="25.5" hidden="1">
      <c r="A50" s="80"/>
      <c r="B50" s="87"/>
      <c r="C50" s="67" t="s">
        <v>75</v>
      </c>
      <c r="D50" s="67" t="s">
        <v>125</v>
      </c>
      <c r="E50" s="89" t="s">
        <v>126</v>
      </c>
      <c r="F50" s="90" t="s">
        <v>127</v>
      </c>
      <c r="G50" s="67" t="s">
        <v>108</v>
      </c>
      <c r="H50" s="67">
        <v>3</v>
      </c>
      <c r="I50" s="55">
        <v>62.76</v>
      </c>
      <c r="J50" s="55"/>
      <c r="K50" s="84"/>
      <c r="L50" s="53"/>
    </row>
    <row r="51" spans="1:12" hidden="1">
      <c r="A51" s="80"/>
      <c r="B51" s="87"/>
      <c r="C51" s="67" t="s">
        <v>75</v>
      </c>
      <c r="D51" s="67" t="s">
        <v>128</v>
      </c>
      <c r="E51" s="63" t="s">
        <v>129</v>
      </c>
      <c r="F51" s="64" t="s">
        <v>130</v>
      </c>
      <c r="G51" s="67" t="s">
        <v>108</v>
      </c>
      <c r="H51" s="67">
        <v>1</v>
      </c>
      <c r="I51" s="55">
        <v>24.64</v>
      </c>
      <c r="J51" s="55"/>
      <c r="K51" s="84"/>
      <c r="L51" s="53"/>
    </row>
    <row r="52" spans="1:12" hidden="1">
      <c r="A52" s="80"/>
      <c r="B52" s="87"/>
      <c r="C52" s="67" t="s">
        <v>75</v>
      </c>
      <c r="D52" s="67" t="s">
        <v>131</v>
      </c>
      <c r="E52" s="63" t="s">
        <v>132</v>
      </c>
      <c r="F52" s="64" t="s">
        <v>133</v>
      </c>
      <c r="G52" s="67" t="s">
        <v>108</v>
      </c>
      <c r="H52" s="67">
        <v>1</v>
      </c>
      <c r="I52" s="55">
        <v>23.41</v>
      </c>
      <c r="J52" s="55"/>
      <c r="K52" s="84"/>
      <c r="L52" s="53"/>
    </row>
    <row r="53" spans="1:12" s="59" customFormat="1" ht="18.600000000000001" customHeight="1">
      <c r="A53" s="79">
        <v>4</v>
      </c>
      <c r="B53" s="79">
        <v>4</v>
      </c>
      <c r="C53" s="5" t="s">
        <v>134</v>
      </c>
      <c r="D53" s="5"/>
      <c r="E53" s="5"/>
      <c r="F53" s="5"/>
      <c r="G53" s="5"/>
      <c r="H53" s="5"/>
      <c r="I53" s="5"/>
      <c r="J53" s="45"/>
      <c r="K53" s="57"/>
      <c r="L53" s="58"/>
    </row>
    <row r="54" spans="1:12">
      <c r="A54" s="80" t="s">
        <v>135</v>
      </c>
      <c r="B54" s="53" t="s">
        <v>135</v>
      </c>
      <c r="C54" s="67" t="s">
        <v>23</v>
      </c>
      <c r="D54" s="53" t="s">
        <v>136</v>
      </c>
      <c r="E54" s="91" t="s">
        <v>137</v>
      </c>
      <c r="F54" s="68" t="s">
        <v>138</v>
      </c>
      <c r="G54" s="67" t="s">
        <v>108</v>
      </c>
      <c r="H54" s="67">
        <v>2</v>
      </c>
      <c r="I54" s="55">
        <v>570.97</v>
      </c>
      <c r="J54" s="55">
        <f t="shared" ref="J54:J71" si="5">H54*I54</f>
        <v>1141.94</v>
      </c>
      <c r="K54" s="55">
        <f t="shared" ref="K54:K71" si="6">I54*(1+$L$11)</f>
        <v>713.71250000000009</v>
      </c>
      <c r="L54" s="55">
        <f t="shared" ref="L54:L71" si="7">H54*K54</f>
        <v>1427.4250000000002</v>
      </c>
    </row>
    <row r="55" spans="1:12">
      <c r="A55" s="80" t="s">
        <v>139</v>
      </c>
      <c r="B55" s="53" t="s">
        <v>139</v>
      </c>
      <c r="C55" s="67" t="s">
        <v>23</v>
      </c>
      <c r="D55" s="53" t="s">
        <v>140</v>
      </c>
      <c r="E55" s="92" t="s">
        <v>141</v>
      </c>
      <c r="F55" s="64" t="s">
        <v>142</v>
      </c>
      <c r="G55" s="67" t="s">
        <v>108</v>
      </c>
      <c r="H55" s="67">
        <v>2</v>
      </c>
      <c r="I55" s="55">
        <v>7.19</v>
      </c>
      <c r="J55" s="55">
        <f t="shared" si="5"/>
        <v>14.38</v>
      </c>
      <c r="K55" s="55">
        <f t="shared" si="6"/>
        <v>8.9875000000000007</v>
      </c>
      <c r="L55" s="55">
        <f t="shared" si="7"/>
        <v>17.975000000000001</v>
      </c>
    </row>
    <row r="56" spans="1:12">
      <c r="A56" s="80" t="s">
        <v>143</v>
      </c>
      <c r="B56" s="53" t="s">
        <v>143</v>
      </c>
      <c r="C56" s="67" t="s">
        <v>23</v>
      </c>
      <c r="D56" s="53" t="s">
        <v>144</v>
      </c>
      <c r="E56" s="92" t="s">
        <v>145</v>
      </c>
      <c r="F56" s="64" t="s">
        <v>146</v>
      </c>
      <c r="G56" s="67" t="s">
        <v>108</v>
      </c>
      <c r="H56" s="67">
        <v>2</v>
      </c>
      <c r="I56" s="55">
        <v>27.7</v>
      </c>
      <c r="J56" s="55">
        <f t="shared" si="5"/>
        <v>55.4</v>
      </c>
      <c r="K56" s="55">
        <f t="shared" si="6"/>
        <v>34.625</v>
      </c>
      <c r="L56" s="55">
        <f t="shared" si="7"/>
        <v>69.25</v>
      </c>
    </row>
    <row r="57" spans="1:12" ht="25.5">
      <c r="A57" s="80" t="s">
        <v>147</v>
      </c>
      <c r="B57" s="53" t="s">
        <v>147</v>
      </c>
      <c r="C57" s="67" t="s">
        <v>23</v>
      </c>
      <c r="D57" s="53" t="s">
        <v>148</v>
      </c>
      <c r="E57" s="89" t="s">
        <v>149</v>
      </c>
      <c r="F57" s="90" t="s">
        <v>150</v>
      </c>
      <c r="G57" s="67" t="s">
        <v>108</v>
      </c>
      <c r="H57" s="67">
        <v>2</v>
      </c>
      <c r="I57" s="55">
        <v>650.04</v>
      </c>
      <c r="J57" s="55">
        <f t="shared" si="5"/>
        <v>1300.08</v>
      </c>
      <c r="K57" s="55">
        <f t="shared" si="6"/>
        <v>812.55</v>
      </c>
      <c r="L57" s="55">
        <f t="shared" si="7"/>
        <v>1625.1</v>
      </c>
    </row>
    <row r="58" spans="1:12">
      <c r="A58" s="80" t="s">
        <v>151</v>
      </c>
      <c r="B58" s="53" t="s">
        <v>151</v>
      </c>
      <c r="C58" s="67" t="s">
        <v>23</v>
      </c>
      <c r="D58" s="53" t="s">
        <v>152</v>
      </c>
      <c r="E58" s="89" t="s">
        <v>153</v>
      </c>
      <c r="F58" s="90" t="s">
        <v>154</v>
      </c>
      <c r="G58" s="67" t="s">
        <v>108</v>
      </c>
      <c r="H58" s="67">
        <v>4</v>
      </c>
      <c r="I58" s="55">
        <v>36.619999999999997</v>
      </c>
      <c r="J58" s="55">
        <f t="shared" si="5"/>
        <v>146.47999999999999</v>
      </c>
      <c r="K58" s="55">
        <f t="shared" si="6"/>
        <v>45.774999999999999</v>
      </c>
      <c r="L58" s="55">
        <f t="shared" si="7"/>
        <v>183.1</v>
      </c>
    </row>
    <row r="59" spans="1:12">
      <c r="A59" s="80" t="s">
        <v>155</v>
      </c>
      <c r="B59" s="53" t="s">
        <v>155</v>
      </c>
      <c r="C59" s="67" t="s">
        <v>23</v>
      </c>
      <c r="D59" s="53" t="s">
        <v>156</v>
      </c>
      <c r="E59" s="89" t="s">
        <v>157</v>
      </c>
      <c r="F59" s="64" t="s">
        <v>158</v>
      </c>
      <c r="G59" s="67" t="s">
        <v>108</v>
      </c>
      <c r="H59" s="67">
        <v>2</v>
      </c>
      <c r="I59" s="55">
        <v>64.86</v>
      </c>
      <c r="J59" s="55">
        <f t="shared" si="5"/>
        <v>129.72</v>
      </c>
      <c r="K59" s="55">
        <f t="shared" si="6"/>
        <v>81.075000000000003</v>
      </c>
      <c r="L59" s="55">
        <f t="shared" si="7"/>
        <v>162.15</v>
      </c>
    </row>
    <row r="60" spans="1:12">
      <c r="A60" s="80" t="s">
        <v>159</v>
      </c>
      <c r="B60" s="53" t="s">
        <v>159</v>
      </c>
      <c r="C60" s="67" t="s">
        <v>23</v>
      </c>
      <c r="D60" s="53" t="s">
        <v>160</v>
      </c>
      <c r="E60" s="89" t="s">
        <v>161</v>
      </c>
      <c r="F60" s="90" t="s">
        <v>162</v>
      </c>
      <c r="G60" s="67" t="s">
        <v>108</v>
      </c>
      <c r="H60" s="67">
        <v>2</v>
      </c>
      <c r="I60" s="55">
        <v>240.36</v>
      </c>
      <c r="J60" s="55">
        <f t="shared" si="5"/>
        <v>480.72</v>
      </c>
      <c r="K60" s="55">
        <f t="shared" si="6"/>
        <v>300.45000000000005</v>
      </c>
      <c r="L60" s="55">
        <f t="shared" si="7"/>
        <v>600.90000000000009</v>
      </c>
    </row>
    <row r="61" spans="1:12">
      <c r="A61" s="80" t="s">
        <v>163</v>
      </c>
      <c r="B61" s="53" t="s">
        <v>163</v>
      </c>
      <c r="C61" s="67" t="s">
        <v>23</v>
      </c>
      <c r="D61" s="53" t="s">
        <v>164</v>
      </c>
      <c r="E61" s="89" t="s">
        <v>165</v>
      </c>
      <c r="F61" s="64" t="s">
        <v>166</v>
      </c>
      <c r="G61" s="67" t="s">
        <v>108</v>
      </c>
      <c r="H61" s="67">
        <v>2</v>
      </c>
      <c r="I61" s="55">
        <v>75.89</v>
      </c>
      <c r="J61" s="55">
        <f t="shared" si="5"/>
        <v>151.78</v>
      </c>
      <c r="K61" s="55">
        <f t="shared" si="6"/>
        <v>94.862499999999997</v>
      </c>
      <c r="L61" s="55">
        <f t="shared" si="7"/>
        <v>189.72499999999999</v>
      </c>
    </row>
    <row r="62" spans="1:12">
      <c r="A62" s="80" t="s">
        <v>167</v>
      </c>
      <c r="B62" s="53" t="s">
        <v>167</v>
      </c>
      <c r="C62" s="67" t="s">
        <v>23</v>
      </c>
      <c r="D62" s="53" t="s">
        <v>168</v>
      </c>
      <c r="E62" s="89" t="s">
        <v>169</v>
      </c>
      <c r="F62" s="64" t="s">
        <v>170</v>
      </c>
      <c r="G62" s="67" t="s">
        <v>27</v>
      </c>
      <c r="H62" s="67">
        <v>1.08</v>
      </c>
      <c r="I62" s="55">
        <v>568.36</v>
      </c>
      <c r="J62" s="55">
        <f t="shared" si="5"/>
        <v>613.8288</v>
      </c>
      <c r="K62" s="55">
        <f t="shared" si="6"/>
        <v>710.45</v>
      </c>
      <c r="L62" s="55">
        <f t="shared" si="7"/>
        <v>767.28600000000006</v>
      </c>
    </row>
    <row r="63" spans="1:12">
      <c r="A63" s="80" t="s">
        <v>171</v>
      </c>
      <c r="B63" s="53" t="s">
        <v>171</v>
      </c>
      <c r="C63" s="67" t="s">
        <v>23</v>
      </c>
      <c r="D63" s="53" t="s">
        <v>172</v>
      </c>
      <c r="E63" s="89" t="s">
        <v>173</v>
      </c>
      <c r="F63" s="64" t="s">
        <v>174</v>
      </c>
      <c r="G63" s="67" t="s">
        <v>108</v>
      </c>
      <c r="H63" s="67">
        <v>2</v>
      </c>
      <c r="I63" s="55">
        <v>816.58</v>
      </c>
      <c r="J63" s="55">
        <f t="shared" si="5"/>
        <v>1633.16</v>
      </c>
      <c r="K63" s="55">
        <f t="shared" si="6"/>
        <v>1020.725</v>
      </c>
      <c r="L63" s="55">
        <f t="shared" si="7"/>
        <v>2041.45</v>
      </c>
    </row>
    <row r="64" spans="1:12">
      <c r="A64" s="80"/>
      <c r="B64" s="53" t="s">
        <v>175</v>
      </c>
      <c r="C64" s="67" t="s">
        <v>176</v>
      </c>
      <c r="D64" s="53">
        <v>1</v>
      </c>
      <c r="E64" s="89"/>
      <c r="F64" s="93" t="s">
        <v>177</v>
      </c>
      <c r="G64" s="67" t="s">
        <v>108</v>
      </c>
      <c r="H64" s="67">
        <v>2</v>
      </c>
      <c r="I64" s="55">
        <f>(159.9+149.9+147.58)/3</f>
        <v>152.46</v>
      </c>
      <c r="J64" s="55">
        <f t="shared" si="5"/>
        <v>304.92</v>
      </c>
      <c r="K64" s="55">
        <f t="shared" si="6"/>
        <v>190.57500000000002</v>
      </c>
      <c r="L64" s="55">
        <f t="shared" si="7"/>
        <v>381.15000000000003</v>
      </c>
    </row>
    <row r="65" spans="1:12" ht="25.5">
      <c r="A65" s="80" t="s">
        <v>178</v>
      </c>
      <c r="B65" s="53" t="s">
        <v>178</v>
      </c>
      <c r="C65" s="67" t="s">
        <v>23</v>
      </c>
      <c r="D65" s="53" t="s">
        <v>179</v>
      </c>
      <c r="E65" s="89" t="s">
        <v>180</v>
      </c>
      <c r="F65" s="90" t="s">
        <v>181</v>
      </c>
      <c r="G65" s="67" t="s">
        <v>108</v>
      </c>
      <c r="H65" s="67">
        <v>4</v>
      </c>
      <c r="I65" s="55">
        <v>165.68</v>
      </c>
      <c r="J65" s="55">
        <f t="shared" si="5"/>
        <v>662.72</v>
      </c>
      <c r="K65" s="55">
        <f t="shared" si="6"/>
        <v>207.10000000000002</v>
      </c>
      <c r="L65" s="55">
        <f t="shared" si="7"/>
        <v>828.40000000000009</v>
      </c>
    </row>
    <row r="66" spans="1:12">
      <c r="A66" s="80" t="s">
        <v>182</v>
      </c>
      <c r="B66" s="53" t="s">
        <v>182</v>
      </c>
      <c r="C66" s="67" t="s">
        <v>4</v>
      </c>
      <c r="D66" s="53">
        <v>36081</v>
      </c>
      <c r="E66" s="89" t="s">
        <v>183</v>
      </c>
      <c r="F66" s="94" t="s">
        <v>184</v>
      </c>
      <c r="G66" s="67" t="s">
        <v>108</v>
      </c>
      <c r="H66" s="67">
        <v>4</v>
      </c>
      <c r="I66" s="55">
        <v>220</v>
      </c>
      <c r="J66" s="55">
        <f t="shared" si="5"/>
        <v>880</v>
      </c>
      <c r="K66" s="55">
        <f t="shared" si="6"/>
        <v>275</v>
      </c>
      <c r="L66" s="55">
        <f t="shared" si="7"/>
        <v>1100</v>
      </c>
    </row>
    <row r="67" spans="1:12">
      <c r="A67" s="80" t="s">
        <v>185</v>
      </c>
      <c r="B67" s="53" t="s">
        <v>185</v>
      </c>
      <c r="C67" s="67" t="s">
        <v>4</v>
      </c>
      <c r="D67" s="53">
        <v>36205</v>
      </c>
      <c r="E67" s="89" t="s">
        <v>186</v>
      </c>
      <c r="F67" s="94" t="s">
        <v>187</v>
      </c>
      <c r="G67" s="67" t="s">
        <v>108</v>
      </c>
      <c r="H67" s="67">
        <v>2</v>
      </c>
      <c r="I67" s="54">
        <v>206.33</v>
      </c>
      <c r="J67" s="55">
        <f t="shared" si="5"/>
        <v>412.66</v>
      </c>
      <c r="K67" s="55">
        <f t="shared" si="6"/>
        <v>257.91250000000002</v>
      </c>
      <c r="L67" s="55">
        <f t="shared" si="7"/>
        <v>515.82500000000005</v>
      </c>
    </row>
    <row r="68" spans="1:12" ht="25.5">
      <c r="A68" s="80" t="s">
        <v>188</v>
      </c>
      <c r="B68" s="53" t="s">
        <v>188</v>
      </c>
      <c r="C68" s="67" t="s">
        <v>23</v>
      </c>
      <c r="D68" s="53" t="s">
        <v>189</v>
      </c>
      <c r="E68" s="89" t="s">
        <v>190</v>
      </c>
      <c r="F68" s="94" t="s">
        <v>191</v>
      </c>
      <c r="G68" s="67" t="s">
        <v>108</v>
      </c>
      <c r="H68" s="67">
        <v>2</v>
      </c>
      <c r="I68" s="55">
        <v>148.53</v>
      </c>
      <c r="J68" s="55">
        <f t="shared" si="5"/>
        <v>297.06</v>
      </c>
      <c r="K68" s="55">
        <f t="shared" si="6"/>
        <v>185.66249999999999</v>
      </c>
      <c r="L68" s="55">
        <f t="shared" si="7"/>
        <v>371.32499999999999</v>
      </c>
    </row>
    <row r="69" spans="1:12">
      <c r="A69" s="80" t="s">
        <v>192</v>
      </c>
      <c r="B69" s="53" t="s">
        <v>193</v>
      </c>
      <c r="C69" s="67" t="s">
        <v>23</v>
      </c>
      <c r="D69" s="53" t="s">
        <v>194</v>
      </c>
      <c r="E69" s="89" t="s">
        <v>195</v>
      </c>
      <c r="F69" s="74" t="s">
        <v>196</v>
      </c>
      <c r="G69" s="67" t="s">
        <v>33</v>
      </c>
      <c r="H69" s="69">
        <v>1.8</v>
      </c>
      <c r="I69" s="55">
        <v>436.83</v>
      </c>
      <c r="J69" s="55">
        <f t="shared" si="5"/>
        <v>786.29399999999998</v>
      </c>
      <c r="K69" s="55">
        <f t="shared" si="6"/>
        <v>546.03750000000002</v>
      </c>
      <c r="L69" s="55">
        <f t="shared" si="7"/>
        <v>982.86750000000006</v>
      </c>
    </row>
    <row r="70" spans="1:12">
      <c r="A70" s="80" t="s">
        <v>197</v>
      </c>
      <c r="B70" s="53" t="s">
        <v>192</v>
      </c>
      <c r="C70" s="67" t="s">
        <v>23</v>
      </c>
      <c r="D70" s="53" t="s">
        <v>198</v>
      </c>
      <c r="E70" s="89" t="s">
        <v>199</v>
      </c>
      <c r="F70" s="74" t="s">
        <v>200</v>
      </c>
      <c r="G70" s="67" t="s">
        <v>108</v>
      </c>
      <c r="H70" s="67">
        <v>4</v>
      </c>
      <c r="I70" s="55">
        <v>34.69</v>
      </c>
      <c r="J70" s="55">
        <f t="shared" si="5"/>
        <v>138.76</v>
      </c>
      <c r="K70" s="55">
        <f t="shared" si="6"/>
        <v>43.362499999999997</v>
      </c>
      <c r="L70" s="55">
        <f t="shared" si="7"/>
        <v>173.45</v>
      </c>
    </row>
    <row r="71" spans="1:12">
      <c r="A71" s="80"/>
      <c r="B71" s="53" t="s">
        <v>197</v>
      </c>
      <c r="C71" s="67" t="s">
        <v>23</v>
      </c>
      <c r="D71" s="53" t="s">
        <v>201</v>
      </c>
      <c r="E71" s="89" t="s">
        <v>202</v>
      </c>
      <c r="F71" s="74" t="s">
        <v>203</v>
      </c>
      <c r="G71" s="67" t="s">
        <v>27</v>
      </c>
      <c r="H71" s="69">
        <f>2*0.575*0.385</f>
        <v>0.44274999999999998</v>
      </c>
      <c r="I71" s="55">
        <v>424.54</v>
      </c>
      <c r="J71" s="55">
        <f t="shared" si="5"/>
        <v>187.96508499999999</v>
      </c>
      <c r="K71" s="55">
        <f t="shared" si="6"/>
        <v>530.67500000000007</v>
      </c>
      <c r="L71" s="55">
        <f t="shared" si="7"/>
        <v>234.95635625000003</v>
      </c>
    </row>
    <row r="72" spans="1:12" ht="25.5" hidden="1">
      <c r="A72" s="80"/>
      <c r="B72" s="87"/>
      <c r="C72" s="67" t="s">
        <v>75</v>
      </c>
      <c r="D72" s="67" t="s">
        <v>125</v>
      </c>
      <c r="E72" s="89" t="s">
        <v>126</v>
      </c>
      <c r="F72" s="90" t="s">
        <v>127</v>
      </c>
      <c r="G72" s="67" t="s">
        <v>108</v>
      </c>
      <c r="H72" s="67">
        <v>2</v>
      </c>
      <c r="I72" s="55">
        <v>62.76</v>
      </c>
      <c r="J72" s="55"/>
      <c r="K72" s="84"/>
      <c r="L72" s="53"/>
    </row>
    <row r="73" spans="1:12" hidden="1">
      <c r="A73" s="80"/>
      <c r="B73" s="87"/>
      <c r="C73" s="67" t="s">
        <v>75</v>
      </c>
      <c r="D73" s="67" t="s">
        <v>128</v>
      </c>
      <c r="E73" s="63" t="s">
        <v>129</v>
      </c>
      <c r="F73" s="64" t="s">
        <v>130</v>
      </c>
      <c r="G73" s="67" t="s">
        <v>108</v>
      </c>
      <c r="H73" s="67">
        <v>2</v>
      </c>
      <c r="I73" s="55">
        <v>24.64</v>
      </c>
      <c r="J73" s="55"/>
      <c r="K73" s="84"/>
      <c r="L73" s="53"/>
    </row>
    <row r="74" spans="1:12" s="59" customFormat="1" ht="18.600000000000001" customHeight="1">
      <c r="A74" s="79">
        <v>5</v>
      </c>
      <c r="B74" s="79">
        <v>5</v>
      </c>
      <c r="C74" s="5" t="s">
        <v>204</v>
      </c>
      <c r="D74" s="5"/>
      <c r="E74" s="5"/>
      <c r="F74" s="5"/>
      <c r="G74" s="5"/>
      <c r="H74" s="5"/>
      <c r="I74" s="5"/>
      <c r="J74" s="45"/>
      <c r="K74" s="57"/>
      <c r="L74" s="58"/>
    </row>
    <row r="75" spans="1:12">
      <c r="A75" s="80" t="s">
        <v>205</v>
      </c>
      <c r="B75" s="53" t="s">
        <v>205</v>
      </c>
      <c r="C75" s="67" t="s">
        <v>23</v>
      </c>
      <c r="D75" s="53" t="s">
        <v>206</v>
      </c>
      <c r="E75" s="89" t="s">
        <v>207</v>
      </c>
      <c r="F75" s="93" t="s">
        <v>208</v>
      </c>
      <c r="G75" s="67" t="s">
        <v>27</v>
      </c>
      <c r="H75" s="69">
        <f>2+(0.47*1.35*4)</f>
        <v>4.5380000000000003</v>
      </c>
      <c r="I75" s="55">
        <v>915.39</v>
      </c>
      <c r="J75" s="55">
        <f>H75*I75</f>
        <v>4154.03982</v>
      </c>
      <c r="K75" s="55">
        <f>I75*(1+$L$11)</f>
        <v>1144.2375</v>
      </c>
      <c r="L75" s="55">
        <f>H75*K75</f>
        <v>5192.5497750000004</v>
      </c>
    </row>
    <row r="76" spans="1:12" hidden="1">
      <c r="A76" s="80" t="s">
        <v>209</v>
      </c>
      <c r="B76" s="53"/>
      <c r="C76" s="67" t="s">
        <v>75</v>
      </c>
      <c r="D76" s="95" t="s">
        <v>210</v>
      </c>
      <c r="E76" s="96" t="s">
        <v>211</v>
      </c>
      <c r="F76" s="72" t="s">
        <v>212</v>
      </c>
      <c r="G76" s="67" t="s">
        <v>27</v>
      </c>
      <c r="H76" s="67">
        <v>0.9</v>
      </c>
      <c r="I76" s="55">
        <v>581.41999999999996</v>
      </c>
      <c r="J76" s="55"/>
      <c r="K76" s="84"/>
      <c r="L76" s="55"/>
    </row>
    <row r="77" spans="1:12">
      <c r="A77" s="80"/>
      <c r="B77" s="53" t="s">
        <v>209</v>
      </c>
      <c r="C77" s="67" t="s">
        <v>23</v>
      </c>
      <c r="D77" s="53" t="s">
        <v>213</v>
      </c>
      <c r="E77" s="89" t="s">
        <v>214</v>
      </c>
      <c r="F77" s="68" t="s">
        <v>215</v>
      </c>
      <c r="G77" s="67" t="s">
        <v>27</v>
      </c>
      <c r="H77" s="69">
        <f>(0.87*0.23)+(0.87*0.08)</f>
        <v>0.2697</v>
      </c>
      <c r="I77" s="55">
        <v>118.6</v>
      </c>
      <c r="J77" s="55">
        <f>H77*I77</f>
        <v>31.986419999999999</v>
      </c>
      <c r="K77" s="55">
        <f>I77*(1+$L$11)</f>
        <v>148.25</v>
      </c>
      <c r="L77" s="55">
        <f>H77*K77</f>
        <v>39.983024999999998</v>
      </c>
    </row>
    <row r="78" spans="1:12">
      <c r="A78" s="80"/>
      <c r="B78" s="53" t="s">
        <v>216</v>
      </c>
      <c r="C78" s="67" t="s">
        <v>23</v>
      </c>
      <c r="D78" s="53" t="s">
        <v>217</v>
      </c>
      <c r="E78" s="89" t="s">
        <v>218</v>
      </c>
      <c r="F78" s="68" t="s">
        <v>219</v>
      </c>
      <c r="G78" s="67" t="s">
        <v>27</v>
      </c>
      <c r="H78" s="69">
        <f>H77</f>
        <v>0.2697</v>
      </c>
      <c r="I78" s="55">
        <v>13.54</v>
      </c>
      <c r="J78" s="55">
        <f>H78*I78</f>
        <v>3.6517379999999995</v>
      </c>
      <c r="K78" s="55">
        <f>I78*(1+$L$11)</f>
        <v>16.924999999999997</v>
      </c>
      <c r="L78" s="55">
        <f>H78*K78</f>
        <v>4.5646724999999995</v>
      </c>
    </row>
    <row r="79" spans="1:12" hidden="1">
      <c r="A79" s="80"/>
      <c r="B79" s="87"/>
      <c r="C79" s="67"/>
      <c r="D79" s="67"/>
      <c r="E79" s="89"/>
      <c r="F79" s="68"/>
      <c r="G79" s="67"/>
      <c r="H79" s="69"/>
      <c r="I79" s="55"/>
      <c r="J79" s="55"/>
      <c r="K79" s="84"/>
      <c r="L79" s="53"/>
    </row>
    <row r="80" spans="1:12" hidden="1">
      <c r="A80" s="80"/>
      <c r="B80" s="87"/>
      <c r="C80" s="67"/>
      <c r="D80" s="67"/>
      <c r="E80" s="97" t="s">
        <v>124</v>
      </c>
      <c r="F80" s="68"/>
      <c r="G80" s="67"/>
      <c r="H80" s="69"/>
      <c r="I80" s="55"/>
      <c r="J80" s="55"/>
      <c r="K80" s="84"/>
      <c r="L80" s="53"/>
    </row>
    <row r="81" spans="1:12" hidden="1">
      <c r="A81" s="80"/>
      <c r="B81" s="87"/>
      <c r="C81" s="67" t="s">
        <v>75</v>
      </c>
      <c r="D81" s="67" t="s">
        <v>128</v>
      </c>
      <c r="E81" s="63" t="s">
        <v>129</v>
      </c>
      <c r="F81" s="64" t="s">
        <v>130</v>
      </c>
      <c r="G81" s="67" t="s">
        <v>108</v>
      </c>
      <c r="H81" s="67">
        <v>1</v>
      </c>
      <c r="I81" s="55">
        <v>24.64</v>
      </c>
      <c r="J81" s="55"/>
      <c r="K81" s="84"/>
      <c r="L81" s="53"/>
    </row>
    <row r="82" spans="1:12" hidden="1">
      <c r="A82" s="80"/>
      <c r="B82" s="87"/>
      <c r="C82" s="67" t="s">
        <v>75</v>
      </c>
      <c r="D82" s="67" t="s">
        <v>220</v>
      </c>
      <c r="E82" s="63" t="s">
        <v>221</v>
      </c>
      <c r="F82" s="64" t="s">
        <v>222</v>
      </c>
      <c r="G82" s="67" t="s">
        <v>108</v>
      </c>
      <c r="H82" s="67">
        <v>1</v>
      </c>
      <c r="I82" s="55">
        <v>33.46</v>
      </c>
      <c r="J82" s="55"/>
      <c r="K82" s="84"/>
      <c r="L82" s="53"/>
    </row>
    <row r="83" spans="1:12" hidden="1">
      <c r="A83" s="80"/>
      <c r="B83" s="87"/>
      <c r="C83" s="67" t="s">
        <v>75</v>
      </c>
      <c r="D83" s="67" t="s">
        <v>131</v>
      </c>
      <c r="E83" s="63" t="s">
        <v>132</v>
      </c>
      <c r="F83" s="64" t="s">
        <v>133</v>
      </c>
      <c r="G83" s="67" t="s">
        <v>108</v>
      </c>
      <c r="H83" s="67">
        <v>7</v>
      </c>
      <c r="I83" s="55">
        <v>23.41</v>
      </c>
      <c r="J83" s="55"/>
      <c r="K83" s="84"/>
      <c r="L83" s="53"/>
    </row>
    <row r="84" spans="1:12" hidden="1">
      <c r="A84" s="80"/>
      <c r="B84" s="87"/>
      <c r="C84" s="67" t="s">
        <v>75</v>
      </c>
      <c r="D84" s="67" t="s">
        <v>223</v>
      </c>
      <c r="E84" s="89" t="s">
        <v>224</v>
      </c>
      <c r="F84" s="68" t="s">
        <v>225</v>
      </c>
      <c r="G84" s="67" t="s">
        <v>108</v>
      </c>
      <c r="H84" s="86">
        <v>4</v>
      </c>
      <c r="I84" s="55">
        <v>70.95</v>
      </c>
      <c r="J84" s="55"/>
      <c r="K84" s="84"/>
      <c r="L84" s="53"/>
    </row>
    <row r="85" spans="1:12" hidden="1">
      <c r="A85" s="80"/>
      <c r="B85" s="87"/>
      <c r="C85" s="67" t="s">
        <v>75</v>
      </c>
      <c r="D85" s="67" t="s">
        <v>226</v>
      </c>
      <c r="E85" s="89" t="s">
        <v>227</v>
      </c>
      <c r="F85" s="68" t="s">
        <v>228</v>
      </c>
      <c r="G85" s="67" t="s">
        <v>33</v>
      </c>
      <c r="H85" s="69">
        <f>0.3+0.16+0.15</f>
        <v>0.61</v>
      </c>
      <c r="I85" s="55">
        <v>39.880000000000003</v>
      </c>
      <c r="J85" s="55"/>
      <c r="K85" s="84"/>
      <c r="L85" s="53"/>
    </row>
    <row r="86" spans="1:12" s="59" customFormat="1" ht="18.600000000000001" customHeight="1">
      <c r="A86" s="79">
        <v>6</v>
      </c>
      <c r="B86" s="79">
        <v>6</v>
      </c>
      <c r="C86" s="5" t="s">
        <v>229</v>
      </c>
      <c r="D86" s="5"/>
      <c r="E86" s="5"/>
      <c r="F86" s="5"/>
      <c r="G86" s="5"/>
      <c r="H86" s="5"/>
      <c r="I86" s="5"/>
      <c r="J86" s="45"/>
      <c r="K86" s="57"/>
      <c r="L86" s="58"/>
    </row>
    <row r="87" spans="1:12">
      <c r="A87" s="80" t="s">
        <v>230</v>
      </c>
      <c r="B87" s="53" t="s">
        <v>230</v>
      </c>
      <c r="C87" s="67" t="s">
        <v>66</v>
      </c>
      <c r="D87" s="53" t="s">
        <v>67</v>
      </c>
      <c r="E87" s="63" t="s">
        <v>68</v>
      </c>
      <c r="F87" s="74" t="s">
        <v>69</v>
      </c>
      <c r="G87" s="67" t="s">
        <v>33</v>
      </c>
      <c r="H87" s="67">
        <f>3.42*2+0.5</f>
        <v>7.34</v>
      </c>
      <c r="I87" s="55">
        <v>816.14</v>
      </c>
      <c r="J87" s="55">
        <f>H87*I87</f>
        <v>5990.4675999999999</v>
      </c>
      <c r="K87" s="55">
        <f>I87*(1+$L$11)</f>
        <v>1020.175</v>
      </c>
      <c r="L87" s="55">
        <f>H87*K87</f>
        <v>7488.0844999999999</v>
      </c>
    </row>
    <row r="88" spans="1:12">
      <c r="A88" s="80" t="s">
        <v>231</v>
      </c>
      <c r="B88" s="53" t="s">
        <v>231</v>
      </c>
      <c r="C88" s="67" t="s">
        <v>23</v>
      </c>
      <c r="D88" s="53" t="s">
        <v>96</v>
      </c>
      <c r="E88" s="89" t="s">
        <v>97</v>
      </c>
      <c r="F88" s="93" t="s">
        <v>98</v>
      </c>
      <c r="G88" s="67" t="s">
        <v>33</v>
      </c>
      <c r="H88" s="67">
        <v>13.5</v>
      </c>
      <c r="I88" s="55">
        <v>26.96</v>
      </c>
      <c r="J88" s="55">
        <f>H88*I88</f>
        <v>363.96000000000004</v>
      </c>
      <c r="K88" s="55">
        <f>I88*(1+$L$11)</f>
        <v>33.700000000000003</v>
      </c>
      <c r="L88" s="55">
        <f>H88*K88</f>
        <v>454.95000000000005</v>
      </c>
    </row>
    <row r="89" spans="1:12">
      <c r="A89" s="80"/>
      <c r="B89" s="53" t="s">
        <v>232</v>
      </c>
      <c r="C89" s="67" t="s">
        <v>23</v>
      </c>
      <c r="D89" s="53" t="s">
        <v>233</v>
      </c>
      <c r="E89" s="89" t="s">
        <v>234</v>
      </c>
      <c r="F89" s="93" t="s">
        <v>235</v>
      </c>
      <c r="G89" s="67" t="s">
        <v>33</v>
      </c>
      <c r="H89" s="67">
        <v>5.3</v>
      </c>
      <c r="I89" s="55">
        <v>9.89</v>
      </c>
      <c r="J89" s="55">
        <f>H89*I89</f>
        <v>52.417000000000002</v>
      </c>
      <c r="K89" s="55">
        <f>I89*(1+$L$11)</f>
        <v>12.362500000000001</v>
      </c>
      <c r="L89" s="55">
        <f>H89*K89</f>
        <v>65.521249999999995</v>
      </c>
    </row>
    <row r="90" spans="1:12" hidden="1">
      <c r="A90" s="80"/>
      <c r="B90" s="87"/>
      <c r="C90" s="67"/>
      <c r="D90" s="67"/>
      <c r="E90" s="89"/>
      <c r="F90" s="93"/>
      <c r="G90" s="67"/>
      <c r="H90" s="67"/>
      <c r="I90" s="55"/>
      <c r="J90" s="55"/>
      <c r="K90" s="84"/>
      <c r="L90" s="53"/>
    </row>
    <row r="91" spans="1:12" hidden="1">
      <c r="A91" s="80"/>
      <c r="B91" s="87"/>
      <c r="C91" s="67"/>
      <c r="D91" s="67"/>
      <c r="E91" s="97" t="s">
        <v>124</v>
      </c>
      <c r="F91" s="93"/>
      <c r="G91" s="67"/>
      <c r="H91" s="67"/>
      <c r="I91" s="55"/>
      <c r="J91" s="55"/>
      <c r="K91" s="84"/>
      <c r="L91" s="53"/>
    </row>
    <row r="92" spans="1:12" hidden="1">
      <c r="A92" s="80"/>
      <c r="B92" s="87"/>
      <c r="C92" s="67" t="s">
        <v>75</v>
      </c>
      <c r="D92" s="67" t="s">
        <v>220</v>
      </c>
      <c r="E92" s="63" t="s">
        <v>221</v>
      </c>
      <c r="F92" s="64" t="s">
        <v>222</v>
      </c>
      <c r="G92" s="67" t="s">
        <v>108</v>
      </c>
      <c r="H92" s="67">
        <v>1</v>
      </c>
      <c r="I92" s="55">
        <v>33.46</v>
      </c>
      <c r="J92" s="55"/>
      <c r="K92" s="84"/>
      <c r="L92" s="53"/>
    </row>
    <row r="93" spans="1:12" hidden="1">
      <c r="A93" s="80"/>
      <c r="B93" s="87"/>
      <c r="C93" s="67" t="s">
        <v>75</v>
      </c>
      <c r="D93" s="67" t="s">
        <v>131</v>
      </c>
      <c r="E93" s="63" t="s">
        <v>132</v>
      </c>
      <c r="F93" s="64" t="s">
        <v>133</v>
      </c>
      <c r="G93" s="67" t="s">
        <v>108</v>
      </c>
      <c r="H93" s="67">
        <v>3</v>
      </c>
      <c r="I93" s="55">
        <v>23.41</v>
      </c>
      <c r="J93" s="55"/>
      <c r="K93" s="84"/>
      <c r="L93" s="53"/>
    </row>
    <row r="94" spans="1:12" s="59" customFormat="1" ht="18.600000000000001" customHeight="1">
      <c r="A94" s="79">
        <v>7</v>
      </c>
      <c r="B94" s="79">
        <v>7</v>
      </c>
      <c r="C94" s="5" t="s">
        <v>236</v>
      </c>
      <c r="D94" s="5"/>
      <c r="E94" s="5"/>
      <c r="F94" s="5"/>
      <c r="G94" s="5"/>
      <c r="H94" s="5"/>
      <c r="I94" s="5"/>
      <c r="J94" s="45"/>
      <c r="K94" s="57"/>
      <c r="L94" s="58"/>
    </row>
    <row r="95" spans="1:12">
      <c r="A95" s="80" t="s">
        <v>237</v>
      </c>
      <c r="B95" s="53" t="s">
        <v>238</v>
      </c>
      <c r="C95" s="67" t="s">
        <v>23</v>
      </c>
      <c r="D95" s="53" t="s">
        <v>239</v>
      </c>
      <c r="E95" s="89" t="s">
        <v>137</v>
      </c>
      <c r="F95" s="98" t="s">
        <v>240</v>
      </c>
      <c r="G95" s="67" t="s">
        <v>108</v>
      </c>
      <c r="H95" s="67">
        <v>1</v>
      </c>
      <c r="I95" s="55">
        <v>291.62</v>
      </c>
      <c r="J95" s="55">
        <f t="shared" ref="J95:J100" si="8">H95*I95</f>
        <v>291.62</v>
      </c>
      <c r="K95" s="55">
        <f>I95*(1+$L$11)</f>
        <v>364.52499999999998</v>
      </c>
      <c r="L95" s="55">
        <f>H95*K95</f>
        <v>364.52499999999998</v>
      </c>
    </row>
    <row r="96" spans="1:12">
      <c r="A96" s="80"/>
      <c r="B96" s="53" t="s">
        <v>237</v>
      </c>
      <c r="C96" s="67" t="s">
        <v>23</v>
      </c>
      <c r="D96" s="53" t="s">
        <v>140</v>
      </c>
      <c r="E96" s="92" t="s">
        <v>141</v>
      </c>
      <c r="F96" s="64" t="s">
        <v>142</v>
      </c>
      <c r="G96" s="67" t="s">
        <v>108</v>
      </c>
      <c r="H96" s="67">
        <v>1</v>
      </c>
      <c r="I96" s="55">
        <v>7.19</v>
      </c>
      <c r="J96" s="55">
        <f t="shared" si="8"/>
        <v>7.19</v>
      </c>
      <c r="K96" s="55">
        <f>I96*(1+$L$11)</f>
        <v>8.9875000000000007</v>
      </c>
      <c r="L96" s="55">
        <f>H96*K96</f>
        <v>8.9875000000000007</v>
      </c>
    </row>
    <row r="97" spans="1:12">
      <c r="A97" s="80"/>
      <c r="B97" s="53" t="s">
        <v>241</v>
      </c>
      <c r="C97" s="67" t="s">
        <v>23</v>
      </c>
      <c r="D97" s="53" t="s">
        <v>144</v>
      </c>
      <c r="E97" s="92" t="s">
        <v>145</v>
      </c>
      <c r="F97" s="64" t="s">
        <v>146</v>
      </c>
      <c r="G97" s="67" t="s">
        <v>108</v>
      </c>
      <c r="H97" s="67">
        <v>1</v>
      </c>
      <c r="I97" s="55">
        <v>27.7</v>
      </c>
      <c r="J97" s="55">
        <f t="shared" si="8"/>
        <v>27.7</v>
      </c>
      <c r="K97" s="55">
        <f>I97*(1+$L$11)</f>
        <v>34.625</v>
      </c>
      <c r="L97" s="55">
        <f>H97*K97</f>
        <v>34.625</v>
      </c>
    </row>
    <row r="98" spans="1:12" ht="25.5">
      <c r="A98" s="80"/>
      <c r="B98" s="53" t="s">
        <v>242</v>
      </c>
      <c r="C98" s="67" t="s">
        <v>23</v>
      </c>
      <c r="D98" s="53" t="s">
        <v>148</v>
      </c>
      <c r="E98" s="89" t="s">
        <v>149</v>
      </c>
      <c r="F98" s="94" t="s">
        <v>150</v>
      </c>
      <c r="G98" s="67" t="s">
        <v>108</v>
      </c>
      <c r="H98" s="67">
        <v>1</v>
      </c>
      <c r="I98" s="55">
        <v>650.04</v>
      </c>
      <c r="J98" s="55">
        <f t="shared" si="8"/>
        <v>650.04</v>
      </c>
      <c r="K98" s="55">
        <f>I98*(1+$L$11)</f>
        <v>812.55</v>
      </c>
      <c r="L98" s="55">
        <f>H98*K98</f>
        <v>812.55</v>
      </c>
    </row>
    <row r="99" spans="1:12">
      <c r="A99" s="80"/>
      <c r="B99" s="53" t="s">
        <v>243</v>
      </c>
      <c r="C99" s="67" t="s">
        <v>23</v>
      </c>
      <c r="D99" s="53" t="s">
        <v>152</v>
      </c>
      <c r="E99" s="89" t="s">
        <v>153</v>
      </c>
      <c r="F99" s="94" t="s">
        <v>154</v>
      </c>
      <c r="G99" s="67" t="s">
        <v>108</v>
      </c>
      <c r="H99" s="67">
        <v>1</v>
      </c>
      <c r="I99" s="55">
        <v>36.619999999999997</v>
      </c>
      <c r="J99" s="55">
        <f t="shared" si="8"/>
        <v>36.619999999999997</v>
      </c>
      <c r="K99" s="55">
        <f>I99*(1+$L$11)</f>
        <v>45.774999999999999</v>
      </c>
      <c r="L99" s="55">
        <f>H99*K99</f>
        <v>45.774999999999999</v>
      </c>
    </row>
    <row r="100" spans="1:12" hidden="1">
      <c r="A100" s="80" t="s">
        <v>241</v>
      </c>
      <c r="B100" s="87"/>
      <c r="C100" s="67"/>
      <c r="D100" s="67"/>
      <c r="E100" s="96" t="s">
        <v>244</v>
      </c>
      <c r="F100" s="68"/>
      <c r="G100" s="67" t="s">
        <v>108</v>
      </c>
      <c r="H100" s="67"/>
      <c r="I100" s="55"/>
      <c r="J100" s="55">
        <f t="shared" si="8"/>
        <v>0</v>
      </c>
      <c r="K100" s="84"/>
      <c r="L100" s="53"/>
    </row>
    <row r="101" spans="1:12" hidden="1">
      <c r="A101" s="80"/>
      <c r="B101" s="87"/>
      <c r="C101" s="67"/>
      <c r="D101" s="67"/>
      <c r="E101" s="89"/>
      <c r="F101" s="68"/>
      <c r="G101" s="67"/>
      <c r="H101" s="67"/>
      <c r="I101" s="55"/>
      <c r="J101" s="55"/>
      <c r="K101" s="84"/>
      <c r="L101" s="53"/>
    </row>
    <row r="102" spans="1:12" hidden="1">
      <c r="A102" s="80"/>
      <c r="B102" s="87"/>
      <c r="C102" s="67"/>
      <c r="D102" s="67"/>
      <c r="E102" s="97" t="s">
        <v>124</v>
      </c>
      <c r="F102" s="68"/>
      <c r="G102" s="67"/>
      <c r="H102" s="67"/>
      <c r="I102" s="55"/>
      <c r="J102" s="55"/>
      <c r="K102" s="84"/>
      <c r="L102" s="53"/>
    </row>
    <row r="103" spans="1:12" hidden="1">
      <c r="A103" s="80"/>
      <c r="B103" s="87"/>
      <c r="C103" s="67" t="s">
        <v>75</v>
      </c>
      <c r="D103" s="67" t="s">
        <v>128</v>
      </c>
      <c r="E103" s="63" t="s">
        <v>129</v>
      </c>
      <c r="F103" s="64" t="s">
        <v>130</v>
      </c>
      <c r="G103" s="67" t="s">
        <v>108</v>
      </c>
      <c r="H103" s="67">
        <v>1</v>
      </c>
      <c r="I103" s="55">
        <v>24.64</v>
      </c>
      <c r="J103" s="55"/>
      <c r="K103" s="84"/>
      <c r="L103" s="53"/>
    </row>
    <row r="104" spans="1:12" hidden="1">
      <c r="A104" s="80"/>
      <c r="B104" s="87"/>
      <c r="C104" s="67" t="s">
        <v>75</v>
      </c>
      <c r="D104" s="67" t="s">
        <v>131</v>
      </c>
      <c r="E104" s="63" t="s">
        <v>132</v>
      </c>
      <c r="F104" s="64" t="s">
        <v>133</v>
      </c>
      <c r="G104" s="67" t="s">
        <v>108</v>
      </c>
      <c r="H104" s="67">
        <v>2</v>
      </c>
      <c r="I104" s="55">
        <v>23.41</v>
      </c>
      <c r="J104" s="55"/>
      <c r="K104" s="84"/>
      <c r="L104" s="53"/>
    </row>
    <row r="105" spans="1:12" hidden="1">
      <c r="A105" s="80"/>
      <c r="B105" s="87"/>
      <c r="C105" s="67" t="s">
        <v>75</v>
      </c>
      <c r="D105" s="67" t="s">
        <v>223</v>
      </c>
      <c r="E105" s="89" t="s">
        <v>224</v>
      </c>
      <c r="F105" s="68" t="s">
        <v>225</v>
      </c>
      <c r="G105" s="67" t="s">
        <v>108</v>
      </c>
      <c r="H105" s="86">
        <v>1</v>
      </c>
      <c r="I105" s="55">
        <v>70.95</v>
      </c>
      <c r="J105" s="55"/>
      <c r="K105" s="84"/>
      <c r="L105" s="53"/>
    </row>
    <row r="106" spans="1:12" s="59" customFormat="1" ht="18.600000000000001" customHeight="1">
      <c r="A106" s="79">
        <v>8</v>
      </c>
      <c r="B106" s="79">
        <v>8</v>
      </c>
      <c r="C106" s="5" t="s">
        <v>245</v>
      </c>
      <c r="D106" s="5"/>
      <c r="E106" s="5"/>
      <c r="F106" s="5"/>
      <c r="G106" s="5"/>
      <c r="H106" s="5"/>
      <c r="I106" s="5"/>
      <c r="J106" s="45"/>
      <c r="K106" s="57"/>
      <c r="L106" s="58"/>
    </row>
    <row r="107" spans="1:12">
      <c r="A107" s="80" t="s">
        <v>246</v>
      </c>
      <c r="B107" s="53" t="s">
        <v>247</v>
      </c>
      <c r="C107" s="67" t="s">
        <v>23</v>
      </c>
      <c r="D107" s="53" t="s">
        <v>156</v>
      </c>
      <c r="E107" s="89" t="s">
        <v>157</v>
      </c>
      <c r="F107" s="74" t="s">
        <v>158</v>
      </c>
      <c r="G107" s="67" t="s">
        <v>108</v>
      </c>
      <c r="H107" s="67">
        <v>1</v>
      </c>
      <c r="I107" s="55">
        <v>64.86</v>
      </c>
      <c r="J107" s="99">
        <f>H107*I107</f>
        <v>64.86</v>
      </c>
      <c r="K107" s="55">
        <f>I107*(1+$L$11)</f>
        <v>81.075000000000003</v>
      </c>
      <c r="L107" s="55">
        <f>H107*K107</f>
        <v>81.075000000000003</v>
      </c>
    </row>
    <row r="108" spans="1:12">
      <c r="A108" s="80" t="s">
        <v>248</v>
      </c>
      <c r="B108" s="53" t="s">
        <v>249</v>
      </c>
      <c r="C108" s="67" t="s">
        <v>23</v>
      </c>
      <c r="D108" s="53" t="s">
        <v>160</v>
      </c>
      <c r="E108" s="89" t="s">
        <v>161</v>
      </c>
      <c r="F108" s="94" t="s">
        <v>162</v>
      </c>
      <c r="G108" s="67" t="s">
        <v>108</v>
      </c>
      <c r="H108" s="67">
        <v>1</v>
      </c>
      <c r="I108" s="55">
        <v>240.36</v>
      </c>
      <c r="J108" s="99">
        <f>H108*I108</f>
        <v>240.36</v>
      </c>
      <c r="K108" s="55">
        <f>I108*(1+$L$11)</f>
        <v>300.45000000000005</v>
      </c>
      <c r="L108" s="55">
        <f>H108*K108</f>
        <v>300.45000000000005</v>
      </c>
    </row>
    <row r="109" spans="1:12">
      <c r="A109" s="80" t="s">
        <v>250</v>
      </c>
      <c r="B109" s="53" t="s">
        <v>251</v>
      </c>
      <c r="C109" s="67" t="s">
        <v>23</v>
      </c>
      <c r="D109" s="53" t="s">
        <v>164</v>
      </c>
      <c r="E109" s="89" t="s">
        <v>165</v>
      </c>
      <c r="F109" s="74" t="s">
        <v>166</v>
      </c>
      <c r="G109" s="67" t="s">
        <v>108</v>
      </c>
      <c r="H109" s="67">
        <v>1</v>
      </c>
      <c r="I109" s="55">
        <v>75.89</v>
      </c>
      <c r="J109" s="99">
        <f>H109*I109</f>
        <v>75.89</v>
      </c>
      <c r="K109" s="55">
        <f>I109*(1+$L$11)</f>
        <v>94.862499999999997</v>
      </c>
      <c r="L109" s="55">
        <f>H109*K109</f>
        <v>94.862499999999997</v>
      </c>
    </row>
    <row r="110" spans="1:12">
      <c r="A110" s="80" t="s">
        <v>252</v>
      </c>
      <c r="B110" s="53" t="s">
        <v>246</v>
      </c>
      <c r="C110" s="67" t="s">
        <v>23</v>
      </c>
      <c r="D110" s="53" t="s">
        <v>168</v>
      </c>
      <c r="E110" s="89" t="s">
        <v>169</v>
      </c>
      <c r="F110" s="74" t="s">
        <v>170</v>
      </c>
      <c r="G110" s="67" t="s">
        <v>27</v>
      </c>
      <c r="H110" s="67">
        <v>0.54</v>
      </c>
      <c r="I110" s="55">
        <v>568.36</v>
      </c>
      <c r="J110" s="99">
        <f>H110*I110</f>
        <v>306.9144</v>
      </c>
      <c r="K110" s="55">
        <f>I110*(1+$L$11)</f>
        <v>710.45</v>
      </c>
      <c r="L110" s="55">
        <f>H110*K110</f>
        <v>383.64300000000003</v>
      </c>
    </row>
    <row r="111" spans="1:12">
      <c r="A111" s="80" t="s">
        <v>253</v>
      </c>
      <c r="B111" s="53" t="s">
        <v>248</v>
      </c>
      <c r="C111" s="67" t="s">
        <v>23</v>
      </c>
      <c r="D111" s="53" t="s">
        <v>254</v>
      </c>
      <c r="E111" s="89" t="s">
        <v>255</v>
      </c>
      <c r="F111" s="98" t="s">
        <v>256</v>
      </c>
      <c r="G111" s="67" t="s">
        <v>108</v>
      </c>
      <c r="H111" s="67">
        <v>1</v>
      </c>
      <c r="I111" s="55">
        <v>45.31</v>
      </c>
      <c r="J111" s="55">
        <f>H111*I111</f>
        <v>45.31</v>
      </c>
      <c r="K111" s="55">
        <f>I111*(1+$L$11)</f>
        <v>56.637500000000003</v>
      </c>
      <c r="L111" s="55">
        <f>H111*K111</f>
        <v>56.637500000000003</v>
      </c>
    </row>
    <row r="112" spans="1:12" hidden="1">
      <c r="A112" s="80"/>
      <c r="B112" s="87"/>
      <c r="C112" s="67"/>
      <c r="D112" s="67"/>
      <c r="E112" s="89"/>
      <c r="F112" s="98"/>
      <c r="G112" s="67"/>
      <c r="H112" s="67"/>
      <c r="I112" s="55"/>
      <c r="J112" s="55"/>
      <c r="K112" s="84"/>
      <c r="L112" s="53"/>
    </row>
    <row r="113" spans="1:12" hidden="1">
      <c r="A113" s="80"/>
      <c r="B113" s="87"/>
      <c r="C113" s="67"/>
      <c r="D113" s="67"/>
      <c r="E113" s="97" t="s">
        <v>124</v>
      </c>
      <c r="F113" s="98"/>
      <c r="G113" s="67"/>
      <c r="H113" s="67"/>
      <c r="I113" s="55"/>
      <c r="J113" s="55"/>
      <c r="K113" s="84"/>
      <c r="L113" s="53"/>
    </row>
    <row r="114" spans="1:12" hidden="1">
      <c r="A114" s="80"/>
      <c r="B114" s="87"/>
      <c r="C114" s="67" t="s">
        <v>75</v>
      </c>
      <c r="D114" s="67" t="s">
        <v>128</v>
      </c>
      <c r="E114" s="63" t="s">
        <v>129</v>
      </c>
      <c r="F114" s="64" t="s">
        <v>130</v>
      </c>
      <c r="G114" s="67" t="s">
        <v>108</v>
      </c>
      <c r="H114" s="67">
        <v>1</v>
      </c>
      <c r="I114" s="55">
        <v>24.64</v>
      </c>
      <c r="J114" s="55"/>
      <c r="K114" s="84"/>
      <c r="L114" s="53"/>
    </row>
    <row r="115" spans="1:12" hidden="1">
      <c r="A115" s="80"/>
      <c r="B115" s="87"/>
      <c r="C115" s="67" t="s">
        <v>75</v>
      </c>
      <c r="D115" s="67" t="s">
        <v>131</v>
      </c>
      <c r="E115" s="63" t="s">
        <v>132</v>
      </c>
      <c r="F115" s="64" t="s">
        <v>133</v>
      </c>
      <c r="G115" s="67" t="s">
        <v>108</v>
      </c>
      <c r="H115" s="67">
        <v>8</v>
      </c>
      <c r="I115" s="55">
        <v>23.41</v>
      </c>
      <c r="J115" s="55"/>
      <c r="K115" s="84"/>
      <c r="L115" s="53"/>
    </row>
    <row r="116" spans="1:12" hidden="1">
      <c r="A116" s="80"/>
      <c r="B116" s="87"/>
      <c r="C116" s="67" t="s">
        <v>75</v>
      </c>
      <c r="D116" s="67" t="s">
        <v>257</v>
      </c>
      <c r="E116" s="89" t="s">
        <v>258</v>
      </c>
      <c r="F116" s="98" t="s">
        <v>259</v>
      </c>
      <c r="G116" s="67" t="s">
        <v>108</v>
      </c>
      <c r="H116" s="67">
        <v>1</v>
      </c>
      <c r="I116" s="55">
        <v>34.39</v>
      </c>
      <c r="J116" s="55"/>
      <c r="K116" s="84"/>
      <c r="L116" s="53"/>
    </row>
    <row r="117" spans="1:12" s="59" customFormat="1" ht="18.600000000000001" hidden="1" customHeight="1">
      <c r="A117" s="79">
        <v>9</v>
      </c>
      <c r="B117" s="87"/>
      <c r="C117" s="5" t="s">
        <v>260</v>
      </c>
      <c r="D117" s="5"/>
      <c r="E117" s="5"/>
      <c r="F117" s="5"/>
      <c r="G117" s="5"/>
      <c r="H117" s="5"/>
      <c r="I117" s="5"/>
      <c r="J117" s="5"/>
      <c r="K117" s="84"/>
      <c r="L117" s="53"/>
    </row>
    <row r="118" spans="1:12" s="59" customFormat="1" hidden="1">
      <c r="A118" s="87"/>
      <c r="B118" s="87"/>
      <c r="C118" s="100"/>
      <c r="D118" s="53"/>
      <c r="E118" s="97" t="s">
        <v>124</v>
      </c>
      <c r="F118" s="93"/>
      <c r="G118" s="53"/>
      <c r="H118" s="53"/>
      <c r="I118" s="54"/>
      <c r="J118" s="54"/>
      <c r="K118" s="84"/>
      <c r="L118" s="53"/>
    </row>
    <row r="119" spans="1:12" s="59" customFormat="1" ht="25.5" hidden="1">
      <c r="A119" s="87"/>
      <c r="B119" s="87"/>
      <c r="C119" s="67" t="s">
        <v>75</v>
      </c>
      <c r="D119" s="67" t="s">
        <v>125</v>
      </c>
      <c r="E119" s="89" t="s">
        <v>126</v>
      </c>
      <c r="F119" s="90" t="s">
        <v>127</v>
      </c>
      <c r="G119" s="67" t="s">
        <v>108</v>
      </c>
      <c r="H119" s="67">
        <v>1</v>
      </c>
      <c r="I119" s="55">
        <v>62.76</v>
      </c>
      <c r="J119" s="55"/>
      <c r="K119" s="84"/>
      <c r="L119" s="53"/>
    </row>
    <row r="120" spans="1:12" s="59" customFormat="1" hidden="1">
      <c r="A120" s="87"/>
      <c r="B120" s="87"/>
      <c r="C120" s="67" t="s">
        <v>75</v>
      </c>
      <c r="D120" s="67" t="s">
        <v>131</v>
      </c>
      <c r="E120" s="63" t="s">
        <v>132</v>
      </c>
      <c r="F120" s="64" t="s">
        <v>133</v>
      </c>
      <c r="G120" s="67" t="s">
        <v>108</v>
      </c>
      <c r="H120" s="67">
        <v>4</v>
      </c>
      <c r="I120" s="55">
        <v>23.41</v>
      </c>
      <c r="J120" s="55"/>
      <c r="K120" s="84"/>
      <c r="L120" s="53"/>
    </row>
    <row r="121" spans="1:12" s="59" customFormat="1" hidden="1">
      <c r="A121" s="87"/>
      <c r="B121" s="87"/>
      <c r="C121" s="67" t="s">
        <v>75</v>
      </c>
      <c r="D121" s="67" t="s">
        <v>223</v>
      </c>
      <c r="E121" s="89" t="s">
        <v>224</v>
      </c>
      <c r="F121" s="68" t="s">
        <v>225</v>
      </c>
      <c r="G121" s="67" t="s">
        <v>108</v>
      </c>
      <c r="H121" s="86">
        <v>1</v>
      </c>
      <c r="I121" s="55">
        <v>70.95</v>
      </c>
      <c r="J121" s="55"/>
      <c r="K121" s="84"/>
      <c r="L121" s="53"/>
    </row>
    <row r="122" spans="1:12" s="59" customFormat="1" ht="18.600000000000001" customHeight="1">
      <c r="A122" s="79"/>
      <c r="B122" s="79">
        <v>9</v>
      </c>
      <c r="C122" s="5" t="s">
        <v>261</v>
      </c>
      <c r="D122" s="5"/>
      <c r="E122" s="5"/>
      <c r="F122" s="5"/>
      <c r="G122" s="5"/>
      <c r="H122" s="5"/>
      <c r="I122" s="5"/>
      <c r="J122" s="45"/>
      <c r="K122" s="57"/>
      <c r="L122" s="58"/>
    </row>
    <row r="123" spans="1:12">
      <c r="A123" s="80" t="s">
        <v>262</v>
      </c>
      <c r="B123" s="53" t="s">
        <v>263</v>
      </c>
      <c r="C123" s="67" t="s">
        <v>23</v>
      </c>
      <c r="D123" s="53" t="s">
        <v>156</v>
      </c>
      <c r="E123" s="89" t="s">
        <v>157</v>
      </c>
      <c r="F123" s="74" t="s">
        <v>158</v>
      </c>
      <c r="G123" s="67" t="s">
        <v>108</v>
      </c>
      <c r="H123" s="67">
        <v>1</v>
      </c>
      <c r="I123" s="55">
        <v>64.86</v>
      </c>
      <c r="J123" s="55">
        <f t="shared" ref="J123:J128" si="9">H123*I123</f>
        <v>64.86</v>
      </c>
      <c r="K123" s="55">
        <f t="shared" ref="K123:K128" si="10">I123*(1+$L$11)</f>
        <v>81.075000000000003</v>
      </c>
      <c r="L123" s="55">
        <f t="shared" ref="L123:L128" si="11">H123*K123</f>
        <v>81.075000000000003</v>
      </c>
    </row>
    <row r="124" spans="1:12">
      <c r="A124" s="80" t="s">
        <v>264</v>
      </c>
      <c r="B124" s="53" t="s">
        <v>265</v>
      </c>
      <c r="C124" s="67" t="s">
        <v>23</v>
      </c>
      <c r="D124" s="53" t="s">
        <v>160</v>
      </c>
      <c r="E124" s="89" t="s">
        <v>161</v>
      </c>
      <c r="F124" s="94" t="s">
        <v>162</v>
      </c>
      <c r="G124" s="67" t="s">
        <v>108</v>
      </c>
      <c r="H124" s="67">
        <v>1</v>
      </c>
      <c r="I124" s="55">
        <v>240.36</v>
      </c>
      <c r="J124" s="55">
        <f t="shared" si="9"/>
        <v>240.36</v>
      </c>
      <c r="K124" s="55">
        <f t="shared" si="10"/>
        <v>300.45000000000005</v>
      </c>
      <c r="L124" s="55">
        <f t="shared" si="11"/>
        <v>300.45000000000005</v>
      </c>
    </row>
    <row r="125" spans="1:12">
      <c r="A125" s="80" t="s">
        <v>266</v>
      </c>
      <c r="B125" s="53" t="s">
        <v>262</v>
      </c>
      <c r="C125" s="67" t="s">
        <v>23</v>
      </c>
      <c r="D125" s="53" t="s">
        <v>164</v>
      </c>
      <c r="E125" s="89" t="s">
        <v>165</v>
      </c>
      <c r="F125" s="74" t="s">
        <v>166</v>
      </c>
      <c r="G125" s="67" t="s">
        <v>108</v>
      </c>
      <c r="H125" s="67">
        <v>1</v>
      </c>
      <c r="I125" s="55">
        <v>75.89</v>
      </c>
      <c r="J125" s="55">
        <f t="shared" si="9"/>
        <v>75.89</v>
      </c>
      <c r="K125" s="55">
        <f t="shared" si="10"/>
        <v>94.862499999999997</v>
      </c>
      <c r="L125" s="55">
        <f t="shared" si="11"/>
        <v>94.862499999999997</v>
      </c>
    </row>
    <row r="126" spans="1:12">
      <c r="A126" s="80" t="s">
        <v>267</v>
      </c>
      <c r="B126" s="53" t="s">
        <v>264</v>
      </c>
      <c r="C126" s="67" t="s">
        <v>23</v>
      </c>
      <c r="D126" s="53" t="s">
        <v>168</v>
      </c>
      <c r="E126" s="89" t="s">
        <v>169</v>
      </c>
      <c r="F126" s="74" t="s">
        <v>170</v>
      </c>
      <c r="G126" s="67" t="s">
        <v>27</v>
      </c>
      <c r="H126" s="67">
        <v>0.54</v>
      </c>
      <c r="I126" s="55">
        <v>568.36</v>
      </c>
      <c r="J126" s="55">
        <f t="shared" si="9"/>
        <v>306.9144</v>
      </c>
      <c r="K126" s="55">
        <f t="shared" si="10"/>
        <v>710.45</v>
      </c>
      <c r="L126" s="55">
        <f t="shared" si="11"/>
        <v>383.64300000000003</v>
      </c>
    </row>
    <row r="127" spans="1:12">
      <c r="A127" s="80" t="s">
        <v>268</v>
      </c>
      <c r="B127" s="53" t="s">
        <v>266</v>
      </c>
      <c r="C127" s="67" t="s">
        <v>23</v>
      </c>
      <c r="D127" s="53" t="s">
        <v>254</v>
      </c>
      <c r="E127" s="89" t="s">
        <v>255</v>
      </c>
      <c r="F127" s="98" t="s">
        <v>256</v>
      </c>
      <c r="G127" s="67" t="s">
        <v>108</v>
      </c>
      <c r="H127" s="67">
        <v>1</v>
      </c>
      <c r="I127" s="55">
        <v>45.31</v>
      </c>
      <c r="J127" s="55">
        <f t="shared" si="9"/>
        <v>45.31</v>
      </c>
      <c r="K127" s="55">
        <f t="shared" si="10"/>
        <v>56.637500000000003</v>
      </c>
      <c r="L127" s="55">
        <f t="shared" si="11"/>
        <v>56.637500000000003</v>
      </c>
    </row>
    <row r="128" spans="1:12">
      <c r="A128" s="80"/>
      <c r="B128" s="53" t="s">
        <v>267</v>
      </c>
      <c r="C128" s="67" t="s">
        <v>23</v>
      </c>
      <c r="D128" s="53" t="s">
        <v>269</v>
      </c>
      <c r="E128" s="89" t="s">
        <v>270</v>
      </c>
      <c r="F128" s="98" t="s">
        <v>271</v>
      </c>
      <c r="G128" s="67" t="s">
        <v>27</v>
      </c>
      <c r="H128" s="67">
        <f>1*2.1</f>
        <v>2.1</v>
      </c>
      <c r="I128" s="55">
        <v>142.24</v>
      </c>
      <c r="J128" s="55">
        <f t="shared" si="9"/>
        <v>298.70400000000001</v>
      </c>
      <c r="K128" s="55">
        <f t="shared" si="10"/>
        <v>177.8</v>
      </c>
      <c r="L128" s="55">
        <f t="shared" si="11"/>
        <v>373.38000000000005</v>
      </c>
    </row>
    <row r="129" spans="1:12" hidden="1">
      <c r="A129" s="80"/>
      <c r="B129" s="87"/>
      <c r="C129" s="67"/>
      <c r="D129" s="67"/>
      <c r="E129" s="89"/>
      <c r="F129" s="98"/>
      <c r="G129" s="67"/>
      <c r="H129" s="67"/>
      <c r="I129" s="55"/>
      <c r="J129" s="55"/>
      <c r="K129" s="84"/>
      <c r="L129" s="53"/>
    </row>
    <row r="130" spans="1:12" hidden="1">
      <c r="A130" s="80"/>
      <c r="B130" s="87"/>
      <c r="C130" s="67"/>
      <c r="D130" s="67"/>
      <c r="E130" s="97" t="s">
        <v>124</v>
      </c>
      <c r="F130" s="98"/>
      <c r="G130" s="67"/>
      <c r="H130" s="67"/>
      <c r="I130" s="55"/>
      <c r="J130" s="55"/>
      <c r="K130" s="84"/>
      <c r="L130" s="53"/>
    </row>
    <row r="131" spans="1:12" hidden="1">
      <c r="A131" s="80"/>
      <c r="B131" s="87"/>
      <c r="C131" s="67" t="s">
        <v>75</v>
      </c>
      <c r="D131" s="67" t="s">
        <v>128</v>
      </c>
      <c r="E131" s="63" t="s">
        <v>129</v>
      </c>
      <c r="F131" s="64" t="s">
        <v>130</v>
      </c>
      <c r="G131" s="67" t="s">
        <v>108</v>
      </c>
      <c r="H131" s="67">
        <v>1</v>
      </c>
      <c r="I131" s="55">
        <v>24.64</v>
      </c>
      <c r="J131" s="55"/>
      <c r="K131" s="84"/>
      <c r="L131" s="53"/>
    </row>
    <row r="132" spans="1:12" hidden="1">
      <c r="A132" s="80"/>
      <c r="B132" s="87"/>
      <c r="C132" s="67" t="s">
        <v>75</v>
      </c>
      <c r="D132" s="67" t="s">
        <v>272</v>
      </c>
      <c r="E132" s="89" t="s">
        <v>273</v>
      </c>
      <c r="F132" s="98" t="s">
        <v>274</v>
      </c>
      <c r="G132" s="67" t="s">
        <v>108</v>
      </c>
      <c r="H132" s="67">
        <v>1</v>
      </c>
      <c r="I132" s="55">
        <v>32.86</v>
      </c>
      <c r="J132" s="55"/>
      <c r="K132" s="84"/>
      <c r="L132" s="53"/>
    </row>
    <row r="133" spans="1:12" hidden="1">
      <c r="A133" s="80"/>
      <c r="B133" s="87"/>
      <c r="C133" s="67" t="s">
        <v>75</v>
      </c>
      <c r="D133" s="67" t="s">
        <v>131</v>
      </c>
      <c r="E133" s="63" t="s">
        <v>132</v>
      </c>
      <c r="F133" s="64" t="s">
        <v>133</v>
      </c>
      <c r="G133" s="67" t="s">
        <v>108</v>
      </c>
      <c r="H133" s="67">
        <v>4</v>
      </c>
      <c r="I133" s="55">
        <v>23.41</v>
      </c>
      <c r="J133" s="55"/>
      <c r="K133" s="84"/>
      <c r="L133" s="53"/>
    </row>
    <row r="134" spans="1:12" hidden="1">
      <c r="A134" s="80"/>
      <c r="B134" s="87"/>
      <c r="C134" s="67" t="s">
        <v>75</v>
      </c>
      <c r="D134" s="67" t="s">
        <v>223</v>
      </c>
      <c r="E134" s="89" t="s">
        <v>224</v>
      </c>
      <c r="F134" s="68" t="s">
        <v>225</v>
      </c>
      <c r="G134" s="67" t="s">
        <v>108</v>
      </c>
      <c r="H134" s="86">
        <v>2</v>
      </c>
      <c r="I134" s="55">
        <v>70.95</v>
      </c>
      <c r="J134" s="55"/>
      <c r="K134" s="84"/>
      <c r="L134" s="53"/>
    </row>
    <row r="135" spans="1:12" s="59" customFormat="1" ht="18.600000000000001" customHeight="1">
      <c r="A135" s="79">
        <v>10</v>
      </c>
      <c r="B135" s="79">
        <v>10</v>
      </c>
      <c r="C135" s="5" t="s">
        <v>275</v>
      </c>
      <c r="D135" s="5"/>
      <c r="E135" s="5"/>
      <c r="F135" s="5"/>
      <c r="G135" s="5"/>
      <c r="H135" s="5"/>
      <c r="I135" s="5"/>
      <c r="J135" s="45"/>
      <c r="K135" s="57"/>
      <c r="L135" s="58"/>
    </row>
    <row r="136" spans="1:12" s="59" customFormat="1">
      <c r="A136" s="87"/>
      <c r="B136" s="53" t="s">
        <v>276</v>
      </c>
      <c r="C136" s="87" t="s">
        <v>23</v>
      </c>
      <c r="D136" s="53" t="s">
        <v>277</v>
      </c>
      <c r="E136" s="101" t="s">
        <v>278</v>
      </c>
      <c r="F136" s="93" t="s">
        <v>279</v>
      </c>
      <c r="G136" s="53" t="s">
        <v>108</v>
      </c>
      <c r="H136" s="53">
        <v>1</v>
      </c>
      <c r="I136" s="54">
        <v>288.14</v>
      </c>
      <c r="J136" s="54">
        <f>H136*I136</f>
        <v>288.14</v>
      </c>
      <c r="K136" s="55">
        <f>I136*(1+$L$11)</f>
        <v>360.17499999999995</v>
      </c>
      <c r="L136" s="55">
        <f>H136*K136</f>
        <v>360.17499999999995</v>
      </c>
    </row>
    <row r="137" spans="1:12" s="59" customFormat="1" hidden="1">
      <c r="A137" s="87"/>
      <c r="B137" s="87"/>
      <c r="C137" s="100"/>
      <c r="D137" s="53"/>
      <c r="E137" s="101"/>
      <c r="F137" s="93"/>
      <c r="G137" s="53"/>
      <c r="H137" s="53"/>
      <c r="I137" s="54"/>
      <c r="J137" s="54">
        <f>H137*I137</f>
        <v>0</v>
      </c>
      <c r="K137" s="84"/>
      <c r="L137" s="53"/>
    </row>
    <row r="138" spans="1:12" s="59" customFormat="1" hidden="1">
      <c r="A138" s="87"/>
      <c r="B138" s="87"/>
      <c r="C138" s="100"/>
      <c r="D138" s="53"/>
      <c r="E138" s="97" t="s">
        <v>124</v>
      </c>
      <c r="F138" s="93"/>
      <c r="G138" s="53"/>
      <c r="H138" s="53"/>
      <c r="I138" s="54"/>
      <c r="J138" s="54"/>
      <c r="K138" s="84"/>
      <c r="L138" s="53"/>
    </row>
    <row r="139" spans="1:12" s="59" customFormat="1" hidden="1">
      <c r="A139" s="87"/>
      <c r="B139" s="87"/>
      <c r="C139" s="67" t="s">
        <v>75</v>
      </c>
      <c r="D139" s="67" t="s">
        <v>220</v>
      </c>
      <c r="E139" s="63" t="s">
        <v>221</v>
      </c>
      <c r="F139" s="64" t="s">
        <v>222</v>
      </c>
      <c r="G139" s="67" t="s">
        <v>108</v>
      </c>
      <c r="H139" s="67">
        <v>1</v>
      </c>
      <c r="I139" s="55">
        <v>33.46</v>
      </c>
      <c r="J139" s="54"/>
      <c r="K139" s="84"/>
      <c r="L139" s="53"/>
    </row>
    <row r="140" spans="1:12" s="59" customFormat="1" ht="25.5" hidden="1">
      <c r="A140" s="87"/>
      <c r="B140" s="87"/>
      <c r="C140" s="67" t="s">
        <v>75</v>
      </c>
      <c r="D140" s="67" t="s">
        <v>125</v>
      </c>
      <c r="E140" s="89" t="s">
        <v>126</v>
      </c>
      <c r="F140" s="90" t="s">
        <v>127</v>
      </c>
      <c r="G140" s="67" t="s">
        <v>108</v>
      </c>
      <c r="H140" s="67">
        <v>1</v>
      </c>
      <c r="I140" s="55">
        <v>62.76</v>
      </c>
      <c r="J140" s="54"/>
      <c r="K140" s="84"/>
      <c r="L140" s="53"/>
    </row>
    <row r="141" spans="1:12" s="59" customFormat="1" hidden="1">
      <c r="A141" s="87"/>
      <c r="B141" s="87"/>
      <c r="C141" s="67" t="s">
        <v>75</v>
      </c>
      <c r="D141" s="67" t="s">
        <v>131</v>
      </c>
      <c r="E141" s="63" t="s">
        <v>132</v>
      </c>
      <c r="F141" s="64" t="s">
        <v>133</v>
      </c>
      <c r="G141" s="67" t="s">
        <v>108</v>
      </c>
      <c r="H141" s="67">
        <v>8</v>
      </c>
      <c r="I141" s="55">
        <v>23.41</v>
      </c>
      <c r="J141" s="54"/>
      <c r="K141" s="84"/>
      <c r="L141" s="53"/>
    </row>
    <row r="142" spans="1:12" s="59" customFormat="1" hidden="1">
      <c r="A142" s="87"/>
      <c r="B142" s="87"/>
      <c r="C142" s="67" t="s">
        <v>75</v>
      </c>
      <c r="D142" s="67" t="s">
        <v>223</v>
      </c>
      <c r="E142" s="89" t="s">
        <v>224</v>
      </c>
      <c r="F142" s="68" t="s">
        <v>225</v>
      </c>
      <c r="G142" s="67" t="s">
        <v>108</v>
      </c>
      <c r="H142" s="86">
        <v>4</v>
      </c>
      <c r="I142" s="55">
        <v>70.95</v>
      </c>
      <c r="J142" s="54"/>
      <c r="K142" s="84"/>
      <c r="L142" s="53"/>
    </row>
    <row r="143" spans="1:12" s="59" customFormat="1" ht="18.600000000000001" customHeight="1">
      <c r="A143" s="79"/>
      <c r="B143" s="79">
        <v>11</v>
      </c>
      <c r="C143" s="5" t="s">
        <v>280</v>
      </c>
      <c r="D143" s="5"/>
      <c r="E143" s="5"/>
      <c r="F143" s="5"/>
      <c r="G143" s="5"/>
      <c r="H143" s="5"/>
      <c r="I143" s="5"/>
      <c r="J143" s="45"/>
      <c r="K143" s="57"/>
      <c r="L143" s="58"/>
    </row>
    <row r="144" spans="1:12" s="14" customFormat="1">
      <c r="A144" s="87"/>
      <c r="B144" s="53" t="s">
        <v>281</v>
      </c>
      <c r="C144" s="67" t="s">
        <v>23</v>
      </c>
      <c r="D144" s="53" t="s">
        <v>213</v>
      </c>
      <c r="E144" s="101" t="s">
        <v>282</v>
      </c>
      <c r="F144" s="68" t="s">
        <v>215</v>
      </c>
      <c r="G144" s="67" t="s">
        <v>27</v>
      </c>
      <c r="H144" s="67">
        <f>3*0.25*1</f>
        <v>0.75</v>
      </c>
      <c r="I144" s="55">
        <v>118.6</v>
      </c>
      <c r="J144" s="54">
        <f>H144*I144</f>
        <v>88.949999999999989</v>
      </c>
      <c r="K144" s="55">
        <f>I144*(1+$L$11)</f>
        <v>148.25</v>
      </c>
      <c r="L144" s="55">
        <f>H144*K144</f>
        <v>111.1875</v>
      </c>
    </row>
    <row r="145" spans="1:12" s="14" customFormat="1">
      <c r="A145" s="87"/>
      <c r="B145" s="53" t="s">
        <v>283</v>
      </c>
      <c r="C145" s="53" t="s">
        <v>23</v>
      </c>
      <c r="D145" s="53" t="s">
        <v>284</v>
      </c>
      <c r="E145" s="101" t="s">
        <v>285</v>
      </c>
      <c r="F145" s="93" t="s">
        <v>286</v>
      </c>
      <c r="G145" s="53" t="s">
        <v>27</v>
      </c>
      <c r="H145" s="53">
        <f>0.5*0.5</f>
        <v>0.25</v>
      </c>
      <c r="I145" s="54">
        <v>1370.92</v>
      </c>
      <c r="J145" s="54">
        <f>H145*I145</f>
        <v>342.73</v>
      </c>
      <c r="K145" s="55">
        <f>I145*(1+$L$11)</f>
        <v>1713.65</v>
      </c>
      <c r="L145" s="55">
        <f>H145*K145</f>
        <v>428.41250000000002</v>
      </c>
    </row>
    <row r="146" spans="1:12" s="14" customFormat="1" hidden="1">
      <c r="A146" s="87"/>
      <c r="B146" s="87"/>
      <c r="C146" s="100"/>
      <c r="D146" s="53"/>
      <c r="E146" s="101"/>
      <c r="F146" s="93"/>
      <c r="G146" s="53"/>
      <c r="H146" s="53"/>
      <c r="I146" s="54"/>
      <c r="J146" s="54">
        <f>H146*I146</f>
        <v>0</v>
      </c>
      <c r="K146" s="84"/>
      <c r="L146" s="53"/>
    </row>
    <row r="147" spans="1:12" s="14" customFormat="1" hidden="1">
      <c r="A147" s="87"/>
      <c r="B147" s="87"/>
      <c r="C147" s="100"/>
      <c r="D147" s="53"/>
      <c r="E147" s="97" t="s">
        <v>124</v>
      </c>
      <c r="F147" s="93"/>
      <c r="G147" s="53"/>
      <c r="H147" s="53"/>
      <c r="I147" s="54"/>
      <c r="J147" s="54"/>
      <c r="K147" s="84"/>
      <c r="L147" s="53"/>
    </row>
    <row r="148" spans="1:12" s="14" customFormat="1" hidden="1">
      <c r="A148" s="87"/>
      <c r="B148" s="87"/>
      <c r="C148" s="67" t="s">
        <v>75</v>
      </c>
      <c r="D148" s="67" t="s">
        <v>128</v>
      </c>
      <c r="E148" s="63" t="s">
        <v>129</v>
      </c>
      <c r="F148" s="64" t="s">
        <v>130</v>
      </c>
      <c r="G148" s="67" t="s">
        <v>108</v>
      </c>
      <c r="H148" s="67">
        <v>1</v>
      </c>
      <c r="I148" s="55">
        <v>24.64</v>
      </c>
      <c r="J148" s="54"/>
      <c r="K148" s="84"/>
      <c r="L148" s="53"/>
    </row>
    <row r="149" spans="1:12" s="14" customFormat="1" hidden="1">
      <c r="A149" s="87"/>
      <c r="B149" s="87"/>
      <c r="C149" s="67" t="s">
        <v>75</v>
      </c>
      <c r="D149" s="67" t="s">
        <v>131</v>
      </c>
      <c r="E149" s="63" t="s">
        <v>132</v>
      </c>
      <c r="F149" s="64" t="s">
        <v>133</v>
      </c>
      <c r="G149" s="67" t="s">
        <v>108</v>
      </c>
      <c r="H149" s="67">
        <v>1</v>
      </c>
      <c r="I149" s="55">
        <v>23.41</v>
      </c>
      <c r="J149" s="54"/>
      <c r="K149" s="84"/>
      <c r="L149" s="53"/>
    </row>
    <row r="150" spans="1:12" s="59" customFormat="1" ht="18.600000000000001" customHeight="1">
      <c r="A150" s="79"/>
      <c r="B150" s="79">
        <v>12</v>
      </c>
      <c r="C150" s="5" t="s">
        <v>287</v>
      </c>
      <c r="D150" s="5"/>
      <c r="E150" s="5"/>
      <c r="F150" s="5"/>
      <c r="G150" s="5"/>
      <c r="H150" s="5"/>
      <c r="I150" s="5"/>
      <c r="J150" s="45"/>
      <c r="K150" s="57"/>
      <c r="L150" s="58"/>
    </row>
    <row r="151" spans="1:12">
      <c r="A151" s="80" t="s">
        <v>288</v>
      </c>
      <c r="B151" s="53" t="s">
        <v>289</v>
      </c>
      <c r="C151" s="67" t="s">
        <v>23</v>
      </c>
      <c r="D151" s="53" t="s">
        <v>239</v>
      </c>
      <c r="E151" s="89" t="s">
        <v>137</v>
      </c>
      <c r="F151" s="98" t="s">
        <v>240</v>
      </c>
      <c r="G151" s="67" t="s">
        <v>108</v>
      </c>
      <c r="H151" s="67">
        <v>1</v>
      </c>
      <c r="I151" s="55">
        <v>291.62</v>
      </c>
      <c r="J151" s="55">
        <f>H151*I151</f>
        <v>291.62</v>
      </c>
      <c r="K151" s="55">
        <f>I151*(1+$L$11)</f>
        <v>364.52499999999998</v>
      </c>
      <c r="L151" s="55">
        <f>H151*K151</f>
        <v>364.52499999999998</v>
      </c>
    </row>
    <row r="152" spans="1:12">
      <c r="A152" s="80"/>
      <c r="B152" s="53" t="s">
        <v>290</v>
      </c>
      <c r="C152" s="67" t="s">
        <v>23</v>
      </c>
      <c r="D152" s="53" t="s">
        <v>140</v>
      </c>
      <c r="E152" s="92" t="s">
        <v>141</v>
      </c>
      <c r="F152" s="64" t="s">
        <v>142</v>
      </c>
      <c r="G152" s="67" t="s">
        <v>108</v>
      </c>
      <c r="H152" s="67">
        <v>1</v>
      </c>
      <c r="I152" s="55">
        <v>7.19</v>
      </c>
      <c r="J152" s="55">
        <f>H152*I152</f>
        <v>7.19</v>
      </c>
      <c r="K152" s="55">
        <f>I152*(1+$L$11)</f>
        <v>8.9875000000000007</v>
      </c>
      <c r="L152" s="55">
        <f>H152*K152</f>
        <v>8.9875000000000007</v>
      </c>
    </row>
    <row r="153" spans="1:12">
      <c r="A153" s="80"/>
      <c r="B153" s="53" t="s">
        <v>291</v>
      </c>
      <c r="C153" s="67" t="s">
        <v>23</v>
      </c>
      <c r="D153" s="53" t="s">
        <v>144</v>
      </c>
      <c r="E153" s="92" t="s">
        <v>145</v>
      </c>
      <c r="F153" s="64" t="s">
        <v>146</v>
      </c>
      <c r="G153" s="67" t="s">
        <v>108</v>
      </c>
      <c r="H153" s="67">
        <v>1</v>
      </c>
      <c r="I153" s="55">
        <v>27.7</v>
      </c>
      <c r="J153" s="55">
        <f>H153*I153</f>
        <v>27.7</v>
      </c>
      <c r="K153" s="55">
        <f>I153*(1+$L$11)</f>
        <v>34.625</v>
      </c>
      <c r="L153" s="55">
        <f>H153*K153</f>
        <v>34.625</v>
      </c>
    </row>
    <row r="154" spans="1:12" ht="25.5">
      <c r="A154" s="80"/>
      <c r="B154" s="53" t="s">
        <v>292</v>
      </c>
      <c r="C154" s="67" t="s">
        <v>23</v>
      </c>
      <c r="D154" s="53" t="s">
        <v>148</v>
      </c>
      <c r="E154" s="89" t="s">
        <v>149</v>
      </c>
      <c r="F154" s="94" t="s">
        <v>150</v>
      </c>
      <c r="G154" s="67" t="s">
        <v>108</v>
      </c>
      <c r="H154" s="67">
        <v>1</v>
      </c>
      <c r="I154" s="55">
        <v>650.04</v>
      </c>
      <c r="J154" s="55">
        <f>H154*I154</f>
        <v>650.04</v>
      </c>
      <c r="K154" s="55">
        <f>I154*(1+$L$11)</f>
        <v>812.55</v>
      </c>
      <c r="L154" s="55">
        <f>H154*K154</f>
        <v>812.55</v>
      </c>
    </row>
    <row r="155" spans="1:12">
      <c r="A155" s="80"/>
      <c r="B155" s="53" t="s">
        <v>293</v>
      </c>
      <c r="C155" s="67" t="s">
        <v>23</v>
      </c>
      <c r="D155" s="53" t="s">
        <v>152</v>
      </c>
      <c r="E155" s="89" t="s">
        <v>153</v>
      </c>
      <c r="F155" s="94" t="s">
        <v>154</v>
      </c>
      <c r="G155" s="67" t="s">
        <v>108</v>
      </c>
      <c r="H155" s="67">
        <v>1</v>
      </c>
      <c r="I155" s="55">
        <v>36.619999999999997</v>
      </c>
      <c r="J155" s="55">
        <f>H155*I155</f>
        <v>36.619999999999997</v>
      </c>
      <c r="K155" s="55">
        <f>I155*(1+$L$11)</f>
        <v>45.774999999999999</v>
      </c>
      <c r="L155" s="55">
        <f>H155*K155</f>
        <v>45.774999999999999</v>
      </c>
    </row>
    <row r="156" spans="1:12" hidden="1">
      <c r="A156" s="80"/>
      <c r="B156" s="87"/>
      <c r="C156" s="67"/>
      <c r="D156" s="67"/>
      <c r="E156" s="89"/>
      <c r="F156" s="98"/>
      <c r="G156" s="67"/>
      <c r="H156" s="67"/>
      <c r="I156" s="55"/>
      <c r="J156" s="55"/>
      <c r="K156" s="84"/>
      <c r="L156" s="53"/>
    </row>
    <row r="157" spans="1:12" hidden="1">
      <c r="A157" s="80"/>
      <c r="B157" s="87"/>
      <c r="C157" s="67"/>
      <c r="D157" s="67"/>
      <c r="E157" s="97" t="s">
        <v>124</v>
      </c>
      <c r="F157" s="98"/>
      <c r="G157" s="67"/>
      <c r="H157" s="67"/>
      <c r="I157" s="55"/>
      <c r="J157" s="55"/>
      <c r="K157" s="84"/>
      <c r="L157" s="53"/>
    </row>
    <row r="158" spans="1:12" hidden="1">
      <c r="A158" s="80"/>
      <c r="B158" s="87"/>
      <c r="C158" s="67" t="s">
        <v>75</v>
      </c>
      <c r="D158" s="67" t="s">
        <v>128</v>
      </c>
      <c r="E158" s="63" t="s">
        <v>129</v>
      </c>
      <c r="F158" s="64" t="s">
        <v>130</v>
      </c>
      <c r="G158" s="67" t="s">
        <v>108</v>
      </c>
      <c r="H158" s="67">
        <v>1</v>
      </c>
      <c r="I158" s="55">
        <v>24.64</v>
      </c>
      <c r="J158" s="55"/>
      <c r="K158" s="84"/>
      <c r="L158" s="53"/>
    </row>
    <row r="159" spans="1:12" hidden="1">
      <c r="A159" s="80"/>
      <c r="B159" s="87"/>
      <c r="C159" s="67" t="s">
        <v>75</v>
      </c>
      <c r="D159" s="67" t="s">
        <v>131</v>
      </c>
      <c r="E159" s="63" t="s">
        <v>132</v>
      </c>
      <c r="F159" s="64" t="s">
        <v>133</v>
      </c>
      <c r="G159" s="67" t="s">
        <v>108</v>
      </c>
      <c r="H159" s="67">
        <v>4</v>
      </c>
      <c r="I159" s="55">
        <v>23.41</v>
      </c>
      <c r="J159" s="55"/>
      <c r="K159" s="84"/>
      <c r="L159" s="53"/>
    </row>
    <row r="160" spans="1:12" hidden="1">
      <c r="A160" s="80"/>
      <c r="B160" s="87"/>
      <c r="C160" s="67" t="s">
        <v>75</v>
      </c>
      <c r="D160" s="67" t="s">
        <v>223</v>
      </c>
      <c r="E160" s="89" t="s">
        <v>224</v>
      </c>
      <c r="F160" s="68" t="s">
        <v>225</v>
      </c>
      <c r="G160" s="67" t="s">
        <v>108</v>
      </c>
      <c r="H160" s="86">
        <v>1</v>
      </c>
      <c r="I160" s="55">
        <v>70.95</v>
      </c>
      <c r="J160" s="55"/>
      <c r="K160" s="84"/>
      <c r="L160" s="53"/>
    </row>
    <row r="161" spans="1:12" s="59" customFormat="1" ht="18.600000000000001" customHeight="1">
      <c r="A161" s="79">
        <v>11</v>
      </c>
      <c r="B161" s="79">
        <v>13</v>
      </c>
      <c r="C161" s="5" t="s">
        <v>294</v>
      </c>
      <c r="D161" s="5"/>
      <c r="E161" s="5"/>
      <c r="F161" s="5"/>
      <c r="G161" s="5"/>
      <c r="H161" s="5"/>
      <c r="I161" s="5"/>
      <c r="J161" s="45"/>
      <c r="K161" s="57"/>
      <c r="L161" s="58"/>
    </row>
    <row r="162" spans="1:12">
      <c r="A162" s="80" t="s">
        <v>283</v>
      </c>
      <c r="B162" s="53" t="s">
        <v>295</v>
      </c>
      <c r="C162" s="67" t="s">
        <v>23</v>
      </c>
      <c r="D162" s="53" t="s">
        <v>239</v>
      </c>
      <c r="E162" s="89" t="s">
        <v>137</v>
      </c>
      <c r="F162" s="98" t="s">
        <v>240</v>
      </c>
      <c r="G162" s="67" t="s">
        <v>108</v>
      </c>
      <c r="H162" s="67">
        <v>1</v>
      </c>
      <c r="I162" s="55">
        <v>291.62</v>
      </c>
      <c r="J162" s="55">
        <f>H162*I162</f>
        <v>291.62</v>
      </c>
      <c r="K162" s="55">
        <f>I162*(1+$L$11)</f>
        <v>364.52499999999998</v>
      </c>
      <c r="L162" s="55">
        <f>H162*K162</f>
        <v>364.52499999999998</v>
      </c>
    </row>
    <row r="163" spans="1:12">
      <c r="A163" s="80"/>
      <c r="B163" s="53" t="s">
        <v>296</v>
      </c>
      <c r="C163" s="67" t="s">
        <v>23</v>
      </c>
      <c r="D163" s="53" t="s">
        <v>140</v>
      </c>
      <c r="E163" s="92" t="s">
        <v>141</v>
      </c>
      <c r="F163" s="64" t="s">
        <v>142</v>
      </c>
      <c r="G163" s="67" t="s">
        <v>108</v>
      </c>
      <c r="H163" s="67">
        <v>1</v>
      </c>
      <c r="I163" s="55">
        <v>7.19</v>
      </c>
      <c r="J163" s="55">
        <f>H163*I163</f>
        <v>7.19</v>
      </c>
      <c r="K163" s="55">
        <f>I163*(1+$L$11)</f>
        <v>8.9875000000000007</v>
      </c>
      <c r="L163" s="55">
        <f>H163*K163</f>
        <v>8.9875000000000007</v>
      </c>
    </row>
    <row r="164" spans="1:12">
      <c r="A164" s="80"/>
      <c r="B164" s="53" t="s">
        <v>297</v>
      </c>
      <c r="C164" s="67" t="s">
        <v>23</v>
      </c>
      <c r="D164" s="53" t="s">
        <v>144</v>
      </c>
      <c r="E164" s="92" t="s">
        <v>145</v>
      </c>
      <c r="F164" s="64" t="s">
        <v>146</v>
      </c>
      <c r="G164" s="67" t="s">
        <v>108</v>
      </c>
      <c r="H164" s="67">
        <v>1</v>
      </c>
      <c r="I164" s="55">
        <v>27.7</v>
      </c>
      <c r="J164" s="55">
        <f>H164*I164</f>
        <v>27.7</v>
      </c>
      <c r="K164" s="55">
        <f>I164*(1+$L$11)</f>
        <v>34.625</v>
      </c>
      <c r="L164" s="55">
        <f>H164*K164</f>
        <v>34.625</v>
      </c>
    </row>
    <row r="165" spans="1:12" ht="25.5">
      <c r="A165" s="80"/>
      <c r="B165" s="53" t="s">
        <v>298</v>
      </c>
      <c r="C165" s="67" t="s">
        <v>23</v>
      </c>
      <c r="D165" s="53" t="s">
        <v>148</v>
      </c>
      <c r="E165" s="89" t="s">
        <v>149</v>
      </c>
      <c r="F165" s="94" t="s">
        <v>150</v>
      </c>
      <c r="G165" s="67" t="s">
        <v>108</v>
      </c>
      <c r="H165" s="67">
        <v>1</v>
      </c>
      <c r="I165" s="55">
        <v>650.04</v>
      </c>
      <c r="J165" s="55">
        <f>H165*I165</f>
        <v>650.04</v>
      </c>
      <c r="K165" s="55">
        <f>I165*(1+$L$11)</f>
        <v>812.55</v>
      </c>
      <c r="L165" s="55">
        <f>H165*K165</f>
        <v>812.55</v>
      </c>
    </row>
    <row r="166" spans="1:12">
      <c r="A166" s="80"/>
      <c r="B166" s="53" t="s">
        <v>299</v>
      </c>
      <c r="C166" s="67" t="s">
        <v>23</v>
      </c>
      <c r="D166" s="53" t="s">
        <v>152</v>
      </c>
      <c r="E166" s="89" t="s">
        <v>153</v>
      </c>
      <c r="F166" s="94" t="s">
        <v>154</v>
      </c>
      <c r="G166" s="67" t="s">
        <v>108</v>
      </c>
      <c r="H166" s="67">
        <v>1</v>
      </c>
      <c r="I166" s="55">
        <v>36.619999999999997</v>
      </c>
      <c r="J166" s="55">
        <f>H166*I166</f>
        <v>36.619999999999997</v>
      </c>
      <c r="K166" s="55">
        <f>I166*(1+$L$11)</f>
        <v>45.774999999999999</v>
      </c>
      <c r="L166" s="55">
        <f>H166*K166</f>
        <v>45.774999999999999</v>
      </c>
    </row>
    <row r="167" spans="1:12" hidden="1">
      <c r="A167" s="80"/>
      <c r="B167" s="87"/>
      <c r="C167" s="67"/>
      <c r="D167" s="67"/>
      <c r="E167" s="89"/>
      <c r="F167" s="98"/>
      <c r="G167" s="67"/>
      <c r="H167" s="67"/>
      <c r="I167" s="55"/>
      <c r="J167" s="55"/>
      <c r="K167" s="84"/>
      <c r="L167" s="53"/>
    </row>
    <row r="168" spans="1:12" hidden="1">
      <c r="A168" s="80"/>
      <c r="B168" s="87"/>
      <c r="C168" s="67"/>
      <c r="D168" s="67"/>
      <c r="E168" s="97" t="s">
        <v>124</v>
      </c>
      <c r="F168" s="98"/>
      <c r="G168" s="67"/>
      <c r="H168" s="67"/>
      <c r="I168" s="55"/>
      <c r="J168" s="55"/>
      <c r="K168" s="84"/>
      <c r="L168" s="53"/>
    </row>
    <row r="169" spans="1:12" hidden="1">
      <c r="A169" s="80"/>
      <c r="B169" s="87"/>
      <c r="C169" s="67" t="s">
        <v>75</v>
      </c>
      <c r="D169" s="67" t="s">
        <v>128</v>
      </c>
      <c r="E169" s="63" t="s">
        <v>129</v>
      </c>
      <c r="F169" s="64" t="s">
        <v>130</v>
      </c>
      <c r="G169" s="67" t="s">
        <v>108</v>
      </c>
      <c r="H169" s="67">
        <v>1</v>
      </c>
      <c r="I169" s="55">
        <v>24.64</v>
      </c>
      <c r="J169" s="55"/>
      <c r="K169" s="84"/>
      <c r="L169" s="53"/>
    </row>
    <row r="170" spans="1:12" hidden="1">
      <c r="A170" s="80"/>
      <c r="B170" s="87"/>
      <c r="C170" s="67" t="s">
        <v>75</v>
      </c>
      <c r="D170" s="67" t="s">
        <v>131</v>
      </c>
      <c r="E170" s="63" t="s">
        <v>132</v>
      </c>
      <c r="F170" s="64" t="s">
        <v>133</v>
      </c>
      <c r="G170" s="67" t="s">
        <v>108</v>
      </c>
      <c r="H170" s="67">
        <v>3</v>
      </c>
      <c r="I170" s="55">
        <v>23.41</v>
      </c>
      <c r="J170" s="55"/>
      <c r="K170" s="84"/>
      <c r="L170" s="53"/>
    </row>
    <row r="171" spans="1:12" hidden="1">
      <c r="A171" s="80"/>
      <c r="B171" s="87"/>
      <c r="C171" s="67" t="s">
        <v>75</v>
      </c>
      <c r="D171" s="67" t="s">
        <v>223</v>
      </c>
      <c r="E171" s="89" t="s">
        <v>224</v>
      </c>
      <c r="F171" s="68" t="s">
        <v>225</v>
      </c>
      <c r="G171" s="67" t="s">
        <v>108</v>
      </c>
      <c r="H171" s="86">
        <v>1</v>
      </c>
      <c r="I171" s="55">
        <v>70.95</v>
      </c>
      <c r="J171" s="55"/>
      <c r="K171" s="84"/>
      <c r="L171" s="53"/>
    </row>
    <row r="172" spans="1:12" s="59" customFormat="1" ht="18.600000000000001" customHeight="1">
      <c r="A172" s="79">
        <v>12</v>
      </c>
      <c r="B172" s="79">
        <v>14</v>
      </c>
      <c r="C172" s="5" t="s">
        <v>300</v>
      </c>
      <c r="D172" s="5"/>
      <c r="E172" s="5"/>
      <c r="F172" s="5"/>
      <c r="G172" s="5"/>
      <c r="H172" s="5"/>
      <c r="I172" s="5"/>
      <c r="J172" s="45"/>
      <c r="K172" s="57"/>
      <c r="L172" s="58"/>
    </row>
    <row r="173" spans="1:12">
      <c r="A173" s="80" t="s">
        <v>289</v>
      </c>
      <c r="B173" s="53" t="s">
        <v>301</v>
      </c>
      <c r="C173" s="67" t="s">
        <v>23</v>
      </c>
      <c r="D173" s="53" t="s">
        <v>239</v>
      </c>
      <c r="E173" s="89" t="s">
        <v>137</v>
      </c>
      <c r="F173" s="98" t="s">
        <v>240</v>
      </c>
      <c r="G173" s="67" t="s">
        <v>108</v>
      </c>
      <c r="H173" s="67">
        <v>2</v>
      </c>
      <c r="I173" s="55">
        <v>291.62</v>
      </c>
      <c r="J173" s="55">
        <f t="shared" ref="J173:J182" si="12">H173*I173</f>
        <v>583.24</v>
      </c>
      <c r="K173" s="55">
        <f t="shared" ref="K173:K182" si="13">I173*(1+$L$11)</f>
        <v>364.52499999999998</v>
      </c>
      <c r="L173" s="55">
        <f t="shared" ref="L173:L182" si="14">H173*K173</f>
        <v>729.05</v>
      </c>
    </row>
    <row r="174" spans="1:12">
      <c r="A174" s="80" t="s">
        <v>290</v>
      </c>
      <c r="B174" s="53" t="s">
        <v>302</v>
      </c>
      <c r="C174" s="67" t="s">
        <v>23</v>
      </c>
      <c r="D174" s="53" t="s">
        <v>140</v>
      </c>
      <c r="E174" s="92" t="s">
        <v>141</v>
      </c>
      <c r="F174" s="64" t="s">
        <v>142</v>
      </c>
      <c r="G174" s="67" t="s">
        <v>108</v>
      </c>
      <c r="H174" s="67">
        <v>2</v>
      </c>
      <c r="I174" s="55">
        <v>7.19</v>
      </c>
      <c r="J174" s="55">
        <f t="shared" si="12"/>
        <v>14.38</v>
      </c>
      <c r="K174" s="55">
        <f t="shared" si="13"/>
        <v>8.9875000000000007</v>
      </c>
      <c r="L174" s="55">
        <f t="shared" si="14"/>
        <v>17.975000000000001</v>
      </c>
    </row>
    <row r="175" spans="1:12">
      <c r="A175" s="80" t="s">
        <v>291</v>
      </c>
      <c r="B175" s="53" t="s">
        <v>303</v>
      </c>
      <c r="C175" s="67" t="s">
        <v>23</v>
      </c>
      <c r="D175" s="53" t="s">
        <v>144</v>
      </c>
      <c r="E175" s="92" t="s">
        <v>145</v>
      </c>
      <c r="F175" s="64" t="s">
        <v>146</v>
      </c>
      <c r="G175" s="67" t="s">
        <v>108</v>
      </c>
      <c r="H175" s="67">
        <v>2</v>
      </c>
      <c r="I175" s="55">
        <v>27.7</v>
      </c>
      <c r="J175" s="55">
        <f t="shared" si="12"/>
        <v>55.4</v>
      </c>
      <c r="K175" s="55">
        <f t="shared" si="13"/>
        <v>34.625</v>
      </c>
      <c r="L175" s="55">
        <f t="shared" si="14"/>
        <v>69.25</v>
      </c>
    </row>
    <row r="176" spans="1:12" ht="25.5">
      <c r="A176" s="80" t="s">
        <v>292</v>
      </c>
      <c r="B176" s="53" t="s">
        <v>304</v>
      </c>
      <c r="C176" s="67" t="s">
        <v>23</v>
      </c>
      <c r="D176" s="53" t="s">
        <v>148</v>
      </c>
      <c r="E176" s="89" t="s">
        <v>149</v>
      </c>
      <c r="F176" s="94" t="s">
        <v>150</v>
      </c>
      <c r="G176" s="67" t="s">
        <v>108</v>
      </c>
      <c r="H176" s="67">
        <v>2</v>
      </c>
      <c r="I176" s="55">
        <v>650.04</v>
      </c>
      <c r="J176" s="55">
        <f t="shared" si="12"/>
        <v>1300.08</v>
      </c>
      <c r="K176" s="55">
        <f t="shared" si="13"/>
        <v>812.55</v>
      </c>
      <c r="L176" s="55">
        <f t="shared" si="14"/>
        <v>1625.1</v>
      </c>
    </row>
    <row r="177" spans="1:12">
      <c r="A177" s="80" t="s">
        <v>293</v>
      </c>
      <c r="B177" s="53" t="s">
        <v>305</v>
      </c>
      <c r="C177" s="67" t="s">
        <v>23</v>
      </c>
      <c r="D177" s="53" t="s">
        <v>152</v>
      </c>
      <c r="E177" s="89" t="s">
        <v>153</v>
      </c>
      <c r="F177" s="94" t="s">
        <v>154</v>
      </c>
      <c r="G177" s="67" t="s">
        <v>108</v>
      </c>
      <c r="H177" s="67">
        <v>3</v>
      </c>
      <c r="I177" s="55">
        <v>36.619999999999997</v>
      </c>
      <c r="J177" s="55">
        <f t="shared" si="12"/>
        <v>109.85999999999999</v>
      </c>
      <c r="K177" s="55">
        <f t="shared" si="13"/>
        <v>45.774999999999999</v>
      </c>
      <c r="L177" s="55">
        <f t="shared" si="14"/>
        <v>137.32499999999999</v>
      </c>
    </row>
    <row r="178" spans="1:12">
      <c r="A178" s="80" t="s">
        <v>306</v>
      </c>
      <c r="B178" s="53" t="s">
        <v>307</v>
      </c>
      <c r="C178" s="67" t="s">
        <v>23</v>
      </c>
      <c r="D178" s="53" t="s">
        <v>156</v>
      </c>
      <c r="E178" s="89" t="s">
        <v>157</v>
      </c>
      <c r="F178" s="74" t="s">
        <v>158</v>
      </c>
      <c r="G178" s="67" t="s">
        <v>108</v>
      </c>
      <c r="H178" s="67">
        <v>1</v>
      </c>
      <c r="I178" s="55">
        <v>64.86</v>
      </c>
      <c r="J178" s="55">
        <f t="shared" si="12"/>
        <v>64.86</v>
      </c>
      <c r="K178" s="55">
        <f t="shared" si="13"/>
        <v>81.075000000000003</v>
      </c>
      <c r="L178" s="55">
        <f t="shared" si="14"/>
        <v>81.075000000000003</v>
      </c>
    </row>
    <row r="179" spans="1:12">
      <c r="A179" s="80" t="s">
        <v>308</v>
      </c>
      <c r="B179" s="53" t="s">
        <v>309</v>
      </c>
      <c r="C179" s="67" t="s">
        <v>23</v>
      </c>
      <c r="D179" s="53" t="s">
        <v>160</v>
      </c>
      <c r="E179" s="89" t="s">
        <v>161</v>
      </c>
      <c r="F179" s="94" t="s">
        <v>162</v>
      </c>
      <c r="G179" s="67" t="s">
        <v>108</v>
      </c>
      <c r="H179" s="67">
        <v>1</v>
      </c>
      <c r="I179" s="55">
        <v>240.36</v>
      </c>
      <c r="J179" s="55">
        <f t="shared" si="12"/>
        <v>240.36</v>
      </c>
      <c r="K179" s="55">
        <f t="shared" si="13"/>
        <v>300.45000000000005</v>
      </c>
      <c r="L179" s="55">
        <f t="shared" si="14"/>
        <v>300.45000000000005</v>
      </c>
    </row>
    <row r="180" spans="1:12">
      <c r="A180" s="80" t="s">
        <v>310</v>
      </c>
      <c r="B180" s="53" t="s">
        <v>311</v>
      </c>
      <c r="C180" s="67" t="s">
        <v>23</v>
      </c>
      <c r="D180" s="53" t="s">
        <v>164</v>
      </c>
      <c r="E180" s="89" t="s">
        <v>165</v>
      </c>
      <c r="F180" s="74" t="s">
        <v>166</v>
      </c>
      <c r="G180" s="67" t="s">
        <v>108</v>
      </c>
      <c r="H180" s="67">
        <v>1</v>
      </c>
      <c r="I180" s="55">
        <v>75.89</v>
      </c>
      <c r="J180" s="55">
        <f t="shared" si="12"/>
        <v>75.89</v>
      </c>
      <c r="K180" s="55">
        <f t="shared" si="13"/>
        <v>94.862499999999997</v>
      </c>
      <c r="L180" s="55">
        <f t="shared" si="14"/>
        <v>94.862499999999997</v>
      </c>
    </row>
    <row r="181" spans="1:12">
      <c r="A181" s="80" t="s">
        <v>312</v>
      </c>
      <c r="B181" s="53" t="s">
        <v>313</v>
      </c>
      <c r="C181" s="67" t="s">
        <v>23</v>
      </c>
      <c r="D181" s="53" t="s">
        <v>168</v>
      </c>
      <c r="E181" s="89" t="s">
        <v>169</v>
      </c>
      <c r="F181" s="74" t="s">
        <v>170</v>
      </c>
      <c r="G181" s="67" t="s">
        <v>27</v>
      </c>
      <c r="H181" s="67">
        <v>0.54</v>
      </c>
      <c r="I181" s="55">
        <v>568.36</v>
      </c>
      <c r="J181" s="55">
        <f t="shared" si="12"/>
        <v>306.9144</v>
      </c>
      <c r="K181" s="55">
        <f t="shared" si="13"/>
        <v>710.45</v>
      </c>
      <c r="L181" s="55">
        <f t="shared" si="14"/>
        <v>383.64300000000003</v>
      </c>
    </row>
    <row r="182" spans="1:12">
      <c r="A182" s="80" t="s">
        <v>314</v>
      </c>
      <c r="B182" s="53" t="s">
        <v>315</v>
      </c>
      <c r="C182" s="67" t="s">
        <v>23</v>
      </c>
      <c r="D182" s="53" t="s">
        <v>254</v>
      </c>
      <c r="E182" s="89" t="s">
        <v>255</v>
      </c>
      <c r="F182" s="98" t="s">
        <v>256</v>
      </c>
      <c r="G182" s="67" t="s">
        <v>108</v>
      </c>
      <c r="H182" s="67">
        <v>1</v>
      </c>
      <c r="I182" s="55">
        <v>45.31</v>
      </c>
      <c r="J182" s="55">
        <f t="shared" si="12"/>
        <v>45.31</v>
      </c>
      <c r="K182" s="55">
        <f t="shared" si="13"/>
        <v>56.637500000000003</v>
      </c>
      <c r="L182" s="55">
        <f t="shared" si="14"/>
        <v>56.637500000000003</v>
      </c>
    </row>
    <row r="183" spans="1:12" hidden="1">
      <c r="A183" s="80"/>
      <c r="B183" s="87"/>
      <c r="C183" s="67"/>
      <c r="D183" s="67"/>
      <c r="E183" s="96" t="s">
        <v>316</v>
      </c>
      <c r="F183" s="98"/>
      <c r="G183" s="67"/>
      <c r="H183" s="67"/>
      <c r="I183" s="55"/>
      <c r="J183" s="55"/>
      <c r="K183" s="84"/>
      <c r="L183" s="53"/>
    </row>
    <row r="184" spans="1:12" hidden="1">
      <c r="A184" s="80" t="s">
        <v>317</v>
      </c>
      <c r="B184" s="87"/>
      <c r="C184" s="67"/>
      <c r="D184" s="67"/>
      <c r="E184" s="96" t="s">
        <v>244</v>
      </c>
      <c r="F184" s="68"/>
      <c r="G184" s="67" t="s">
        <v>108</v>
      </c>
      <c r="H184" s="67"/>
      <c r="I184" s="55"/>
      <c r="J184" s="55">
        <f>H184*I184</f>
        <v>0</v>
      </c>
      <c r="K184" s="84"/>
      <c r="L184" s="53"/>
    </row>
    <row r="185" spans="1:12" hidden="1">
      <c r="A185" s="80"/>
      <c r="B185" s="87"/>
      <c r="C185" s="67"/>
      <c r="D185" s="67"/>
      <c r="E185" s="89"/>
      <c r="F185" s="68"/>
      <c r="G185" s="67"/>
      <c r="H185" s="67"/>
      <c r="I185" s="55"/>
      <c r="J185" s="55"/>
      <c r="K185" s="84"/>
      <c r="L185" s="53"/>
    </row>
    <row r="186" spans="1:12" hidden="1">
      <c r="A186" s="80"/>
      <c r="B186" s="87"/>
      <c r="C186" s="67"/>
      <c r="D186" s="67"/>
      <c r="E186" s="97" t="s">
        <v>124</v>
      </c>
      <c r="F186" s="68"/>
      <c r="G186" s="67"/>
      <c r="H186" s="67"/>
      <c r="I186" s="55"/>
      <c r="J186" s="55"/>
      <c r="K186" s="84"/>
      <c r="L186" s="53"/>
    </row>
    <row r="187" spans="1:12" hidden="1">
      <c r="A187" s="80"/>
      <c r="B187" s="87"/>
      <c r="C187" s="67" t="s">
        <v>75</v>
      </c>
      <c r="D187" s="67" t="s">
        <v>318</v>
      </c>
      <c r="E187" s="89" t="s">
        <v>319</v>
      </c>
      <c r="F187" s="68" t="s">
        <v>320</v>
      </c>
      <c r="G187" s="67" t="s">
        <v>108</v>
      </c>
      <c r="H187" s="67">
        <v>1</v>
      </c>
      <c r="I187" s="55">
        <v>23.42</v>
      </c>
      <c r="J187" s="55"/>
      <c r="K187" s="84"/>
      <c r="L187" s="53"/>
    </row>
    <row r="188" spans="1:12" hidden="1">
      <c r="A188" s="80"/>
      <c r="B188" s="87"/>
      <c r="C188" s="67" t="s">
        <v>75</v>
      </c>
      <c r="D188" s="67" t="s">
        <v>128</v>
      </c>
      <c r="E188" s="63" t="s">
        <v>129</v>
      </c>
      <c r="F188" s="64" t="s">
        <v>130</v>
      </c>
      <c r="G188" s="67" t="s">
        <v>108</v>
      </c>
      <c r="H188" s="67">
        <f>1+1</f>
        <v>2</v>
      </c>
      <c r="I188" s="55">
        <v>24.64</v>
      </c>
      <c r="J188" s="55"/>
      <c r="K188" s="84"/>
      <c r="L188" s="53"/>
    </row>
    <row r="189" spans="1:12" hidden="1">
      <c r="A189" s="80"/>
      <c r="B189" s="87"/>
      <c r="C189" s="67" t="s">
        <v>75</v>
      </c>
      <c r="D189" s="67" t="s">
        <v>131</v>
      </c>
      <c r="E189" s="63" t="s">
        <v>132</v>
      </c>
      <c r="F189" s="64" t="s">
        <v>133</v>
      </c>
      <c r="G189" s="67" t="s">
        <v>108</v>
      </c>
      <c r="H189" s="67">
        <f>7+1</f>
        <v>8</v>
      </c>
      <c r="I189" s="55">
        <v>23.41</v>
      </c>
      <c r="J189" s="55"/>
      <c r="K189" s="84"/>
      <c r="L189" s="53"/>
    </row>
    <row r="190" spans="1:12" hidden="1">
      <c r="A190" s="80"/>
      <c r="B190" s="87"/>
      <c r="C190" s="67" t="s">
        <v>75</v>
      </c>
      <c r="D190" s="67" t="s">
        <v>223</v>
      </c>
      <c r="E190" s="89" t="s">
        <v>224</v>
      </c>
      <c r="F190" s="68" t="s">
        <v>225</v>
      </c>
      <c r="G190" s="67" t="s">
        <v>108</v>
      </c>
      <c r="H190" s="86">
        <v>1</v>
      </c>
      <c r="I190" s="55">
        <v>70.95</v>
      </c>
      <c r="J190" s="55"/>
      <c r="K190" s="84"/>
      <c r="L190" s="53"/>
    </row>
    <row r="191" spans="1:12" s="59" customFormat="1" ht="18.600000000000001" customHeight="1">
      <c r="A191" s="79">
        <v>13</v>
      </c>
      <c r="B191" s="79">
        <v>15</v>
      </c>
      <c r="C191" s="5" t="s">
        <v>321</v>
      </c>
      <c r="D191" s="5"/>
      <c r="E191" s="5"/>
      <c r="F191" s="5"/>
      <c r="G191" s="5"/>
      <c r="H191" s="5"/>
      <c r="I191" s="5"/>
      <c r="J191" s="45"/>
      <c r="K191" s="57"/>
      <c r="L191" s="58"/>
    </row>
    <row r="192" spans="1:12" s="14" customFormat="1">
      <c r="A192" s="87"/>
      <c r="B192" s="53" t="s">
        <v>322</v>
      </c>
      <c r="C192" s="67" t="s">
        <v>23</v>
      </c>
      <c r="D192" s="53" t="s">
        <v>213</v>
      </c>
      <c r="E192" s="89" t="s">
        <v>323</v>
      </c>
      <c r="F192" s="68" t="s">
        <v>215</v>
      </c>
      <c r="G192" s="67" t="s">
        <v>27</v>
      </c>
      <c r="H192" s="67">
        <f>2*0.25*1</f>
        <v>0.5</v>
      </c>
      <c r="I192" s="55">
        <v>118.6</v>
      </c>
      <c r="J192" s="54">
        <f>H192*I192</f>
        <v>59.3</v>
      </c>
      <c r="K192" s="55">
        <f>I192*(1+$L$11)</f>
        <v>148.25</v>
      </c>
      <c r="L192" s="55">
        <f>H192*K192</f>
        <v>74.125</v>
      </c>
    </row>
    <row r="193" spans="1:12" s="14" customFormat="1">
      <c r="A193" s="87"/>
      <c r="B193" s="53" t="s">
        <v>324</v>
      </c>
      <c r="C193" s="67" t="s">
        <v>23</v>
      </c>
      <c r="D193" s="53" t="s">
        <v>217</v>
      </c>
      <c r="E193" s="89" t="s">
        <v>218</v>
      </c>
      <c r="F193" s="68" t="s">
        <v>219</v>
      </c>
      <c r="G193" s="67" t="s">
        <v>27</v>
      </c>
      <c r="H193" s="67">
        <f>2*0.25*1</f>
        <v>0.5</v>
      </c>
      <c r="I193" s="55">
        <v>13.54</v>
      </c>
      <c r="J193" s="54">
        <f>H193*I193</f>
        <v>6.77</v>
      </c>
      <c r="K193" s="55">
        <f>I193*(1+$L$11)</f>
        <v>16.924999999999997</v>
      </c>
      <c r="L193" s="55">
        <f>H193*K193</f>
        <v>8.4624999999999986</v>
      </c>
    </row>
    <row r="194" spans="1:12" s="59" customFormat="1" ht="18.600000000000001" customHeight="1">
      <c r="A194" s="79"/>
      <c r="B194" s="79">
        <v>16</v>
      </c>
      <c r="C194" s="5" t="s">
        <v>325</v>
      </c>
      <c r="D194" s="5"/>
      <c r="E194" s="5"/>
      <c r="F194" s="5"/>
      <c r="G194" s="5"/>
      <c r="H194" s="5"/>
      <c r="I194" s="5"/>
      <c r="J194" s="45"/>
      <c r="K194" s="57"/>
      <c r="L194" s="58"/>
    </row>
    <row r="195" spans="1:12">
      <c r="A195" s="80" t="s">
        <v>295</v>
      </c>
      <c r="B195" s="53" t="s">
        <v>326</v>
      </c>
      <c r="C195" s="67" t="s">
        <v>23</v>
      </c>
      <c r="D195" s="53" t="s">
        <v>239</v>
      </c>
      <c r="E195" s="89" t="s">
        <v>137</v>
      </c>
      <c r="F195" s="98" t="s">
        <v>240</v>
      </c>
      <c r="G195" s="67" t="s">
        <v>108</v>
      </c>
      <c r="H195" s="67">
        <v>1</v>
      </c>
      <c r="I195" s="55">
        <v>291.62</v>
      </c>
      <c r="J195" s="55">
        <f t="shared" ref="J195:J201" si="15">H195*I195</f>
        <v>291.62</v>
      </c>
      <c r="K195" s="55">
        <f t="shared" ref="K195:K201" si="16">I195*(1+$L$11)</f>
        <v>364.52499999999998</v>
      </c>
      <c r="L195" s="55">
        <f t="shared" ref="L195:L201" si="17">H195*K195</f>
        <v>364.52499999999998</v>
      </c>
    </row>
    <row r="196" spans="1:12">
      <c r="A196" s="80"/>
      <c r="B196" s="53" t="s">
        <v>327</v>
      </c>
      <c r="C196" s="67" t="s">
        <v>23</v>
      </c>
      <c r="D196" s="53" t="s">
        <v>140</v>
      </c>
      <c r="E196" s="92" t="s">
        <v>141</v>
      </c>
      <c r="F196" s="64" t="s">
        <v>142</v>
      </c>
      <c r="G196" s="67" t="s">
        <v>108</v>
      </c>
      <c r="H196" s="67">
        <v>1</v>
      </c>
      <c r="I196" s="55">
        <v>7.19</v>
      </c>
      <c r="J196" s="55">
        <f t="shared" si="15"/>
        <v>7.19</v>
      </c>
      <c r="K196" s="55">
        <f t="shared" si="16"/>
        <v>8.9875000000000007</v>
      </c>
      <c r="L196" s="55">
        <f t="shared" si="17"/>
        <v>8.9875000000000007</v>
      </c>
    </row>
    <row r="197" spans="1:12">
      <c r="A197" s="80"/>
      <c r="B197" s="53" t="s">
        <v>328</v>
      </c>
      <c r="C197" s="67" t="s">
        <v>23</v>
      </c>
      <c r="D197" s="53" t="s">
        <v>144</v>
      </c>
      <c r="E197" s="92" t="s">
        <v>145</v>
      </c>
      <c r="F197" s="64" t="s">
        <v>146</v>
      </c>
      <c r="G197" s="67" t="s">
        <v>108</v>
      </c>
      <c r="H197" s="67">
        <v>1</v>
      </c>
      <c r="I197" s="55">
        <v>27.7</v>
      </c>
      <c r="J197" s="55">
        <f t="shared" si="15"/>
        <v>27.7</v>
      </c>
      <c r="K197" s="55">
        <f t="shared" si="16"/>
        <v>34.625</v>
      </c>
      <c r="L197" s="55">
        <f t="shared" si="17"/>
        <v>34.625</v>
      </c>
    </row>
    <row r="198" spans="1:12" ht="25.5">
      <c r="A198" s="80"/>
      <c r="B198" s="53" t="s">
        <v>329</v>
      </c>
      <c r="C198" s="67" t="s">
        <v>23</v>
      </c>
      <c r="D198" s="53" t="s">
        <v>148</v>
      </c>
      <c r="E198" s="89" t="s">
        <v>149</v>
      </c>
      <c r="F198" s="94" t="s">
        <v>150</v>
      </c>
      <c r="G198" s="67" t="s">
        <v>108</v>
      </c>
      <c r="H198" s="67">
        <v>1</v>
      </c>
      <c r="I198" s="55">
        <v>650.04</v>
      </c>
      <c r="J198" s="55">
        <f t="shared" si="15"/>
        <v>650.04</v>
      </c>
      <c r="K198" s="55">
        <f t="shared" si="16"/>
        <v>812.55</v>
      </c>
      <c r="L198" s="55">
        <f t="shared" si="17"/>
        <v>812.55</v>
      </c>
    </row>
    <row r="199" spans="1:12">
      <c r="A199" s="80"/>
      <c r="B199" s="53" t="s">
        <v>330</v>
      </c>
      <c r="C199" s="67" t="s">
        <v>23</v>
      </c>
      <c r="D199" s="53" t="s">
        <v>152</v>
      </c>
      <c r="E199" s="89" t="s">
        <v>153</v>
      </c>
      <c r="F199" s="94" t="s">
        <v>154</v>
      </c>
      <c r="G199" s="67" t="s">
        <v>108</v>
      </c>
      <c r="H199" s="67">
        <v>1</v>
      </c>
      <c r="I199" s="55">
        <v>36.619999999999997</v>
      </c>
      <c r="J199" s="55">
        <f t="shared" si="15"/>
        <v>36.619999999999997</v>
      </c>
      <c r="K199" s="55">
        <f t="shared" si="16"/>
        <v>45.774999999999999</v>
      </c>
      <c r="L199" s="55">
        <f t="shared" si="17"/>
        <v>45.774999999999999</v>
      </c>
    </row>
    <row r="200" spans="1:12">
      <c r="A200" s="80" t="s">
        <v>296</v>
      </c>
      <c r="B200" s="53" t="s">
        <v>331</v>
      </c>
      <c r="C200" s="67" t="s">
        <v>23</v>
      </c>
      <c r="D200" s="53" t="s">
        <v>213</v>
      </c>
      <c r="E200" s="89" t="s">
        <v>332</v>
      </c>
      <c r="F200" s="68" t="s">
        <v>215</v>
      </c>
      <c r="G200" s="67" t="s">
        <v>27</v>
      </c>
      <c r="H200" s="67">
        <v>0.2</v>
      </c>
      <c r="I200" s="55">
        <v>118.6</v>
      </c>
      <c r="J200" s="55">
        <f t="shared" si="15"/>
        <v>23.72</v>
      </c>
      <c r="K200" s="55">
        <f t="shared" si="16"/>
        <v>148.25</v>
      </c>
      <c r="L200" s="55">
        <f t="shared" si="17"/>
        <v>29.650000000000002</v>
      </c>
    </row>
    <row r="201" spans="1:12">
      <c r="A201" s="80" t="s">
        <v>297</v>
      </c>
      <c r="B201" s="53" t="s">
        <v>333</v>
      </c>
      <c r="C201" s="67" t="s">
        <v>23</v>
      </c>
      <c r="D201" s="53" t="s">
        <v>217</v>
      </c>
      <c r="E201" s="89" t="s">
        <v>218</v>
      </c>
      <c r="F201" s="68" t="s">
        <v>219</v>
      </c>
      <c r="G201" s="67" t="s">
        <v>27</v>
      </c>
      <c r="H201" s="67">
        <v>0.2</v>
      </c>
      <c r="I201" s="55">
        <v>13.54</v>
      </c>
      <c r="J201" s="55">
        <f t="shared" si="15"/>
        <v>2.7080000000000002</v>
      </c>
      <c r="K201" s="55">
        <f t="shared" si="16"/>
        <v>16.924999999999997</v>
      </c>
      <c r="L201" s="55">
        <f t="shared" si="17"/>
        <v>3.3849999999999998</v>
      </c>
    </row>
    <row r="202" spans="1:12" hidden="1">
      <c r="A202" s="80"/>
      <c r="B202" s="87"/>
      <c r="C202" s="67"/>
      <c r="D202" s="67"/>
      <c r="E202" s="89"/>
      <c r="F202" s="68"/>
      <c r="G202" s="67"/>
      <c r="H202" s="67"/>
      <c r="I202" s="55"/>
      <c r="J202" s="55"/>
      <c r="K202" s="84"/>
      <c r="L202" s="53"/>
    </row>
    <row r="203" spans="1:12" hidden="1">
      <c r="A203" s="80"/>
      <c r="B203" s="87"/>
      <c r="C203" s="67"/>
      <c r="D203" s="67"/>
      <c r="E203" s="97" t="s">
        <v>124</v>
      </c>
      <c r="F203" s="68"/>
      <c r="G203" s="67"/>
      <c r="H203" s="67"/>
      <c r="I203" s="55"/>
      <c r="J203" s="55"/>
      <c r="K203" s="84"/>
      <c r="L203" s="53"/>
    </row>
    <row r="204" spans="1:12" hidden="1">
      <c r="A204" s="80"/>
      <c r="B204" s="87"/>
      <c r="C204" s="67" t="s">
        <v>75</v>
      </c>
      <c r="D204" s="67" t="s">
        <v>272</v>
      </c>
      <c r="E204" s="89" t="s">
        <v>273</v>
      </c>
      <c r="F204" s="98" t="s">
        <v>274</v>
      </c>
      <c r="G204" s="67" t="s">
        <v>108</v>
      </c>
      <c r="H204" s="67">
        <v>1</v>
      </c>
      <c r="I204" s="55">
        <v>32.86</v>
      </c>
      <c r="J204" s="55"/>
      <c r="K204" s="84"/>
      <c r="L204" s="53"/>
    </row>
    <row r="205" spans="1:12" hidden="1">
      <c r="A205" s="80"/>
      <c r="B205" s="87"/>
      <c r="C205" s="67" t="s">
        <v>75</v>
      </c>
      <c r="D205" s="67" t="s">
        <v>131</v>
      </c>
      <c r="E205" s="63" t="s">
        <v>132</v>
      </c>
      <c r="F205" s="64" t="s">
        <v>133</v>
      </c>
      <c r="G205" s="67" t="s">
        <v>108</v>
      </c>
      <c r="H205" s="67">
        <v>6</v>
      </c>
      <c r="I205" s="55">
        <v>23.41</v>
      </c>
      <c r="J205" s="55"/>
      <c r="K205" s="84"/>
      <c r="L205" s="53"/>
    </row>
    <row r="206" spans="1:12" s="59" customFormat="1" ht="18.600000000000001" customHeight="1">
      <c r="A206" s="79">
        <v>14</v>
      </c>
      <c r="B206" s="79">
        <v>17</v>
      </c>
      <c r="C206" s="5" t="s">
        <v>334</v>
      </c>
      <c r="D206" s="5"/>
      <c r="E206" s="5"/>
      <c r="F206" s="5"/>
      <c r="G206" s="5"/>
      <c r="H206" s="5"/>
      <c r="I206" s="5"/>
      <c r="J206" s="45"/>
      <c r="K206" s="57"/>
      <c r="L206" s="58"/>
    </row>
    <row r="207" spans="1:12">
      <c r="A207" s="80" t="s">
        <v>301</v>
      </c>
      <c r="B207" s="53" t="s">
        <v>335</v>
      </c>
      <c r="C207" s="67" t="s">
        <v>23</v>
      </c>
      <c r="D207" s="53" t="s">
        <v>336</v>
      </c>
      <c r="E207" s="89" t="s">
        <v>337</v>
      </c>
      <c r="F207" s="93" t="s">
        <v>338</v>
      </c>
      <c r="G207" s="67" t="s">
        <v>108</v>
      </c>
      <c r="H207" s="67">
        <v>1</v>
      </c>
      <c r="I207" s="55">
        <v>120.83</v>
      </c>
      <c r="J207" s="55">
        <f t="shared" ref="J207:J219" si="18">H207*I207</f>
        <v>120.83</v>
      </c>
      <c r="K207" s="55">
        <f>I207*(1+$L$11)</f>
        <v>151.03749999999999</v>
      </c>
      <c r="L207" s="55">
        <f>H207*K207</f>
        <v>151.03749999999999</v>
      </c>
    </row>
    <row r="208" spans="1:12">
      <c r="A208" s="80" t="s">
        <v>302</v>
      </c>
      <c r="B208" s="53" t="s">
        <v>339</v>
      </c>
      <c r="C208" s="67" t="s">
        <v>23</v>
      </c>
      <c r="D208" s="53" t="s">
        <v>254</v>
      </c>
      <c r="E208" s="89" t="s">
        <v>255</v>
      </c>
      <c r="F208" s="68" t="s">
        <v>256</v>
      </c>
      <c r="G208" s="67" t="s">
        <v>108</v>
      </c>
      <c r="H208" s="67">
        <v>1</v>
      </c>
      <c r="I208" s="55">
        <v>45.31</v>
      </c>
      <c r="J208" s="55">
        <f t="shared" si="18"/>
        <v>45.31</v>
      </c>
      <c r="K208" s="55">
        <f>I208*(1+$L$11)</f>
        <v>56.637500000000003</v>
      </c>
      <c r="L208" s="55">
        <f>H208*K208</f>
        <v>56.637500000000003</v>
      </c>
    </row>
    <row r="209" spans="1:12" hidden="1">
      <c r="A209" s="80" t="s">
        <v>303</v>
      </c>
      <c r="B209" s="53"/>
      <c r="C209" s="67"/>
      <c r="D209" s="53"/>
      <c r="E209" s="96" t="s">
        <v>244</v>
      </c>
      <c r="F209" s="68"/>
      <c r="G209" s="67" t="s">
        <v>108</v>
      </c>
      <c r="H209" s="67"/>
      <c r="I209" s="55"/>
      <c r="J209" s="55">
        <f t="shared" si="18"/>
        <v>0</v>
      </c>
      <c r="K209" s="84"/>
      <c r="L209" s="55"/>
    </row>
    <row r="210" spans="1:12">
      <c r="A210" s="80" t="s">
        <v>304</v>
      </c>
      <c r="B210" s="53" t="s">
        <v>340</v>
      </c>
      <c r="C210" s="67" t="s">
        <v>23</v>
      </c>
      <c r="D210" s="53" t="s">
        <v>239</v>
      </c>
      <c r="E210" s="89" t="s">
        <v>137</v>
      </c>
      <c r="F210" s="98" t="s">
        <v>240</v>
      </c>
      <c r="G210" s="67" t="s">
        <v>108</v>
      </c>
      <c r="H210" s="67">
        <v>2</v>
      </c>
      <c r="I210" s="55">
        <v>291.62</v>
      </c>
      <c r="J210" s="55">
        <f t="shared" si="18"/>
        <v>583.24</v>
      </c>
      <c r="K210" s="55">
        <f t="shared" ref="K210:K219" si="19">I210*(1+$L$11)</f>
        <v>364.52499999999998</v>
      </c>
      <c r="L210" s="55">
        <f t="shared" ref="L210:L219" si="20">H210*K210</f>
        <v>729.05</v>
      </c>
    </row>
    <row r="211" spans="1:12">
      <c r="A211" s="80"/>
      <c r="B211" s="53" t="s">
        <v>341</v>
      </c>
      <c r="C211" s="67" t="s">
        <v>23</v>
      </c>
      <c r="D211" s="53" t="s">
        <v>140</v>
      </c>
      <c r="E211" s="92" t="s">
        <v>141</v>
      </c>
      <c r="F211" s="64" t="s">
        <v>142</v>
      </c>
      <c r="G211" s="67" t="s">
        <v>108</v>
      </c>
      <c r="H211" s="67">
        <v>2</v>
      </c>
      <c r="I211" s="55">
        <v>7.19</v>
      </c>
      <c r="J211" s="55">
        <f t="shared" si="18"/>
        <v>14.38</v>
      </c>
      <c r="K211" s="55">
        <f t="shared" si="19"/>
        <v>8.9875000000000007</v>
      </c>
      <c r="L211" s="55">
        <f t="shared" si="20"/>
        <v>17.975000000000001</v>
      </c>
    </row>
    <row r="212" spans="1:12">
      <c r="A212" s="80"/>
      <c r="B212" s="53" t="s">
        <v>342</v>
      </c>
      <c r="C212" s="67" t="s">
        <v>23</v>
      </c>
      <c r="D212" s="53" t="s">
        <v>144</v>
      </c>
      <c r="E212" s="92" t="s">
        <v>145</v>
      </c>
      <c r="F212" s="64" t="s">
        <v>146</v>
      </c>
      <c r="G212" s="67" t="s">
        <v>108</v>
      </c>
      <c r="H212" s="67">
        <v>2</v>
      </c>
      <c r="I212" s="55">
        <v>27.7</v>
      </c>
      <c r="J212" s="55">
        <f t="shared" si="18"/>
        <v>55.4</v>
      </c>
      <c r="K212" s="55">
        <f t="shared" si="19"/>
        <v>34.625</v>
      </c>
      <c r="L212" s="55">
        <f t="shared" si="20"/>
        <v>69.25</v>
      </c>
    </row>
    <row r="213" spans="1:12" ht="25.5">
      <c r="A213" s="80"/>
      <c r="B213" s="53" t="s">
        <v>343</v>
      </c>
      <c r="C213" s="67" t="s">
        <v>23</v>
      </c>
      <c r="D213" s="53" t="s">
        <v>148</v>
      </c>
      <c r="E213" s="89" t="s">
        <v>149</v>
      </c>
      <c r="F213" s="94" t="s">
        <v>150</v>
      </c>
      <c r="G213" s="67" t="s">
        <v>108</v>
      </c>
      <c r="H213" s="67">
        <v>2</v>
      </c>
      <c r="I213" s="55">
        <v>650.04</v>
      </c>
      <c r="J213" s="55">
        <f t="shared" si="18"/>
        <v>1300.08</v>
      </c>
      <c r="K213" s="55">
        <f t="shared" si="19"/>
        <v>812.55</v>
      </c>
      <c r="L213" s="55">
        <f t="shared" si="20"/>
        <v>1625.1</v>
      </c>
    </row>
    <row r="214" spans="1:12">
      <c r="A214" s="80"/>
      <c r="B214" s="53" t="s">
        <v>344</v>
      </c>
      <c r="C214" s="67" t="s">
        <v>23</v>
      </c>
      <c r="D214" s="53" t="s">
        <v>152</v>
      </c>
      <c r="E214" s="89" t="s">
        <v>153</v>
      </c>
      <c r="F214" s="94" t="s">
        <v>154</v>
      </c>
      <c r="G214" s="67" t="s">
        <v>108</v>
      </c>
      <c r="H214" s="67">
        <v>3</v>
      </c>
      <c r="I214" s="55">
        <v>36.619999999999997</v>
      </c>
      <c r="J214" s="55">
        <f t="shared" si="18"/>
        <v>109.85999999999999</v>
      </c>
      <c r="K214" s="55">
        <f t="shared" si="19"/>
        <v>45.774999999999999</v>
      </c>
      <c r="L214" s="55">
        <f t="shared" si="20"/>
        <v>137.32499999999999</v>
      </c>
    </row>
    <row r="215" spans="1:12">
      <c r="A215" s="80" t="s">
        <v>305</v>
      </c>
      <c r="B215" s="53" t="s">
        <v>345</v>
      </c>
      <c r="C215" s="67" t="s">
        <v>23</v>
      </c>
      <c r="D215" s="53" t="s">
        <v>156</v>
      </c>
      <c r="E215" s="89" t="s">
        <v>157</v>
      </c>
      <c r="F215" s="74" t="s">
        <v>158</v>
      </c>
      <c r="G215" s="67" t="s">
        <v>108</v>
      </c>
      <c r="H215" s="67">
        <v>1</v>
      </c>
      <c r="I215" s="55">
        <v>64.86</v>
      </c>
      <c r="J215" s="55">
        <f t="shared" si="18"/>
        <v>64.86</v>
      </c>
      <c r="K215" s="55">
        <f t="shared" si="19"/>
        <v>81.075000000000003</v>
      </c>
      <c r="L215" s="55">
        <f t="shared" si="20"/>
        <v>81.075000000000003</v>
      </c>
    </row>
    <row r="216" spans="1:12">
      <c r="A216" s="80" t="s">
        <v>307</v>
      </c>
      <c r="B216" s="53" t="s">
        <v>346</v>
      </c>
      <c r="C216" s="67" t="s">
        <v>23</v>
      </c>
      <c r="D216" s="53" t="s">
        <v>160</v>
      </c>
      <c r="E216" s="89" t="s">
        <v>161</v>
      </c>
      <c r="F216" s="94" t="s">
        <v>162</v>
      </c>
      <c r="G216" s="67" t="s">
        <v>108</v>
      </c>
      <c r="H216" s="67">
        <v>1</v>
      </c>
      <c r="I216" s="55">
        <v>240.36</v>
      </c>
      <c r="J216" s="55">
        <f t="shared" si="18"/>
        <v>240.36</v>
      </c>
      <c r="K216" s="55">
        <f t="shared" si="19"/>
        <v>300.45000000000005</v>
      </c>
      <c r="L216" s="55">
        <f t="shared" si="20"/>
        <v>300.45000000000005</v>
      </c>
    </row>
    <row r="217" spans="1:12">
      <c r="A217" s="80" t="s">
        <v>309</v>
      </c>
      <c r="B217" s="53" t="s">
        <v>347</v>
      </c>
      <c r="C217" s="67" t="s">
        <v>23</v>
      </c>
      <c r="D217" s="53" t="s">
        <v>164</v>
      </c>
      <c r="E217" s="89" t="s">
        <v>165</v>
      </c>
      <c r="F217" s="74" t="s">
        <v>166</v>
      </c>
      <c r="G217" s="67" t="s">
        <v>108</v>
      </c>
      <c r="H217" s="67">
        <v>1</v>
      </c>
      <c r="I217" s="55">
        <v>75.89</v>
      </c>
      <c r="J217" s="55">
        <f t="shared" si="18"/>
        <v>75.89</v>
      </c>
      <c r="K217" s="55">
        <f t="shared" si="19"/>
        <v>94.862499999999997</v>
      </c>
      <c r="L217" s="55">
        <f t="shared" si="20"/>
        <v>94.862499999999997</v>
      </c>
    </row>
    <row r="218" spans="1:12">
      <c r="A218" s="80" t="s">
        <v>311</v>
      </c>
      <c r="B218" s="53" t="s">
        <v>348</v>
      </c>
      <c r="C218" s="67" t="s">
        <v>23</v>
      </c>
      <c r="D218" s="53" t="s">
        <v>168</v>
      </c>
      <c r="E218" s="89" t="s">
        <v>169</v>
      </c>
      <c r="F218" s="74" t="s">
        <v>170</v>
      </c>
      <c r="G218" s="67" t="s">
        <v>27</v>
      </c>
      <c r="H218" s="67">
        <v>0.54</v>
      </c>
      <c r="I218" s="55">
        <v>568.36</v>
      </c>
      <c r="J218" s="55">
        <f t="shared" si="18"/>
        <v>306.9144</v>
      </c>
      <c r="K218" s="55">
        <f t="shared" si="19"/>
        <v>710.45</v>
      </c>
      <c r="L218" s="55">
        <f t="shared" si="20"/>
        <v>383.64300000000003</v>
      </c>
    </row>
    <row r="219" spans="1:12">
      <c r="A219" s="80"/>
      <c r="B219" s="53" t="s">
        <v>349</v>
      </c>
      <c r="C219" s="67" t="s">
        <v>4</v>
      </c>
      <c r="D219" s="53">
        <v>3090</v>
      </c>
      <c r="E219" s="89" t="s">
        <v>350</v>
      </c>
      <c r="F219" s="74" t="s">
        <v>351</v>
      </c>
      <c r="G219" s="67" t="s">
        <v>108</v>
      </c>
      <c r="H219" s="67">
        <v>1</v>
      </c>
      <c r="I219" s="55">
        <v>84.79</v>
      </c>
      <c r="J219" s="55">
        <f t="shared" si="18"/>
        <v>84.79</v>
      </c>
      <c r="K219" s="55">
        <f t="shared" si="19"/>
        <v>105.98750000000001</v>
      </c>
      <c r="L219" s="55">
        <f t="shared" si="20"/>
        <v>105.98750000000001</v>
      </c>
    </row>
    <row r="220" spans="1:12" hidden="1">
      <c r="A220" s="80"/>
      <c r="B220" s="87"/>
      <c r="C220" s="67"/>
      <c r="D220" s="67"/>
      <c r="E220" s="89"/>
      <c r="F220" s="74"/>
      <c r="G220" s="67"/>
      <c r="H220" s="67"/>
      <c r="I220" s="55"/>
      <c r="J220" s="55"/>
      <c r="K220" s="84"/>
      <c r="L220" s="53"/>
    </row>
    <row r="221" spans="1:12" hidden="1">
      <c r="A221" s="80"/>
      <c r="B221" s="87"/>
      <c r="C221" s="67"/>
      <c r="D221" s="67"/>
      <c r="E221" s="97" t="s">
        <v>124</v>
      </c>
      <c r="F221" s="74"/>
      <c r="G221" s="67"/>
      <c r="H221" s="67"/>
      <c r="I221" s="55"/>
      <c r="J221" s="55"/>
      <c r="K221" s="84"/>
      <c r="L221" s="53"/>
    </row>
    <row r="222" spans="1:12" hidden="1">
      <c r="A222" s="80"/>
      <c r="B222" s="87"/>
      <c r="C222" s="67" t="s">
        <v>75</v>
      </c>
      <c r="D222" s="67" t="s">
        <v>128</v>
      </c>
      <c r="E222" s="63" t="s">
        <v>129</v>
      </c>
      <c r="F222" s="64" t="s">
        <v>130</v>
      </c>
      <c r="G222" s="67" t="s">
        <v>108</v>
      </c>
      <c r="H222" s="67">
        <v>1</v>
      </c>
      <c r="I222" s="55">
        <v>24.64</v>
      </c>
      <c r="J222" s="55"/>
      <c r="K222" s="84"/>
      <c r="L222" s="53"/>
    </row>
    <row r="223" spans="1:12" hidden="1">
      <c r="A223" s="80"/>
      <c r="B223" s="87"/>
      <c r="C223" s="67" t="s">
        <v>75</v>
      </c>
      <c r="D223" s="67" t="s">
        <v>131</v>
      </c>
      <c r="E223" s="63" t="s">
        <v>132</v>
      </c>
      <c r="F223" s="64" t="s">
        <v>133</v>
      </c>
      <c r="G223" s="67" t="s">
        <v>108</v>
      </c>
      <c r="H223" s="67">
        <v>5</v>
      </c>
      <c r="I223" s="55">
        <v>23.41</v>
      </c>
      <c r="J223" s="55"/>
      <c r="K223" s="84"/>
      <c r="L223" s="53"/>
    </row>
    <row r="224" spans="1:12" hidden="1">
      <c r="A224" s="80"/>
      <c r="B224" s="87"/>
      <c r="C224" s="67" t="s">
        <v>75</v>
      </c>
      <c r="D224" s="67" t="s">
        <v>223</v>
      </c>
      <c r="E224" s="89" t="s">
        <v>224</v>
      </c>
      <c r="F224" s="68" t="s">
        <v>225</v>
      </c>
      <c r="G224" s="67" t="s">
        <v>108</v>
      </c>
      <c r="H224" s="86">
        <v>2</v>
      </c>
      <c r="I224" s="55">
        <v>70.95</v>
      </c>
      <c r="J224" s="55"/>
      <c r="K224" s="84"/>
      <c r="L224" s="53"/>
    </row>
    <row r="225" spans="1:12" hidden="1">
      <c r="A225" s="80"/>
      <c r="B225" s="87"/>
      <c r="C225" s="67" t="s">
        <v>75</v>
      </c>
      <c r="D225" s="67" t="s">
        <v>352</v>
      </c>
      <c r="E225" s="89" t="s">
        <v>353</v>
      </c>
      <c r="F225" s="74" t="s">
        <v>354</v>
      </c>
      <c r="G225" s="67" t="s">
        <v>108</v>
      </c>
      <c r="H225" s="67">
        <v>1</v>
      </c>
      <c r="I225" s="55">
        <v>5.49</v>
      </c>
      <c r="J225" s="55"/>
      <c r="K225" s="84"/>
      <c r="L225" s="53"/>
    </row>
    <row r="226" spans="1:12" hidden="1">
      <c r="A226" s="80"/>
      <c r="B226" s="87"/>
      <c r="C226" s="67" t="s">
        <v>75</v>
      </c>
      <c r="D226" s="67" t="s">
        <v>355</v>
      </c>
      <c r="E226" s="89" t="s">
        <v>356</v>
      </c>
      <c r="F226" s="74" t="s">
        <v>357</v>
      </c>
      <c r="G226" s="67" t="s">
        <v>108</v>
      </c>
      <c r="H226" s="67">
        <v>1</v>
      </c>
      <c r="I226" s="55">
        <v>9.9700000000000006</v>
      </c>
      <c r="J226" s="55"/>
      <c r="K226" s="84"/>
      <c r="L226" s="53"/>
    </row>
    <row r="227" spans="1:12" s="59" customFormat="1" ht="18.600000000000001" customHeight="1">
      <c r="A227" s="79">
        <v>15</v>
      </c>
      <c r="B227" s="79">
        <v>18</v>
      </c>
      <c r="C227" s="5" t="s">
        <v>358</v>
      </c>
      <c r="D227" s="5"/>
      <c r="E227" s="5"/>
      <c r="F227" s="5"/>
      <c r="G227" s="5"/>
      <c r="H227" s="5"/>
      <c r="I227" s="5"/>
      <c r="J227" s="45"/>
      <c r="K227" s="57"/>
      <c r="L227" s="58"/>
    </row>
    <row r="228" spans="1:12" s="14" customFormat="1">
      <c r="A228" s="87"/>
      <c r="B228" s="53" t="s">
        <v>359</v>
      </c>
      <c r="C228" s="67" t="s">
        <v>23</v>
      </c>
      <c r="D228" s="53" t="s">
        <v>239</v>
      </c>
      <c r="E228" s="89" t="s">
        <v>137</v>
      </c>
      <c r="F228" s="98" t="s">
        <v>240</v>
      </c>
      <c r="G228" s="67" t="s">
        <v>108</v>
      </c>
      <c r="H228" s="67">
        <v>1</v>
      </c>
      <c r="I228" s="55">
        <v>291.62</v>
      </c>
      <c r="J228" s="54">
        <f>H228*I228</f>
        <v>291.62</v>
      </c>
      <c r="K228" s="55">
        <f>I228*(1+$L$11)</f>
        <v>364.52499999999998</v>
      </c>
      <c r="L228" s="55">
        <f>H228*K228</f>
        <v>364.52499999999998</v>
      </c>
    </row>
    <row r="229" spans="1:12" s="14" customFormat="1">
      <c r="A229" s="87"/>
      <c r="B229" s="53" t="s">
        <v>360</v>
      </c>
      <c r="C229" s="67" t="s">
        <v>23</v>
      </c>
      <c r="D229" s="53" t="s">
        <v>140</v>
      </c>
      <c r="E229" s="92" t="s">
        <v>141</v>
      </c>
      <c r="F229" s="64" t="s">
        <v>142</v>
      </c>
      <c r="G229" s="67" t="s">
        <v>108</v>
      </c>
      <c r="H229" s="67">
        <v>1</v>
      </c>
      <c r="I229" s="55">
        <v>7.19</v>
      </c>
      <c r="J229" s="54">
        <f>H229*I229</f>
        <v>7.19</v>
      </c>
      <c r="K229" s="55">
        <f>I229*(1+$L$11)</f>
        <v>8.9875000000000007</v>
      </c>
      <c r="L229" s="55">
        <f>H229*K229</f>
        <v>8.9875000000000007</v>
      </c>
    </row>
    <row r="230" spans="1:12" s="14" customFormat="1">
      <c r="A230" s="87"/>
      <c r="B230" s="53" t="s">
        <v>361</v>
      </c>
      <c r="C230" s="67" t="s">
        <v>23</v>
      </c>
      <c r="D230" s="53" t="s">
        <v>144</v>
      </c>
      <c r="E230" s="92" t="s">
        <v>145</v>
      </c>
      <c r="F230" s="64" t="s">
        <v>146</v>
      </c>
      <c r="G230" s="67" t="s">
        <v>108</v>
      </c>
      <c r="H230" s="67">
        <v>1</v>
      </c>
      <c r="I230" s="55">
        <v>27.7</v>
      </c>
      <c r="J230" s="54">
        <f>H230*I230</f>
        <v>27.7</v>
      </c>
      <c r="K230" s="55">
        <f>I230*(1+$L$11)</f>
        <v>34.625</v>
      </c>
      <c r="L230" s="55">
        <f>H230*K230</f>
        <v>34.625</v>
      </c>
    </row>
    <row r="231" spans="1:12" s="14" customFormat="1" ht="25.5">
      <c r="A231" s="87"/>
      <c r="B231" s="53" t="s">
        <v>362</v>
      </c>
      <c r="C231" s="67" t="s">
        <v>23</v>
      </c>
      <c r="D231" s="53" t="s">
        <v>148</v>
      </c>
      <c r="E231" s="89" t="s">
        <v>149</v>
      </c>
      <c r="F231" s="94" t="s">
        <v>150</v>
      </c>
      <c r="G231" s="67" t="s">
        <v>108</v>
      </c>
      <c r="H231" s="67">
        <v>1</v>
      </c>
      <c r="I231" s="55">
        <v>650.04</v>
      </c>
      <c r="J231" s="54">
        <f>H231*I231</f>
        <v>650.04</v>
      </c>
      <c r="K231" s="55">
        <f>I231*(1+$L$11)</f>
        <v>812.55</v>
      </c>
      <c r="L231" s="55">
        <f>H231*K231</f>
        <v>812.55</v>
      </c>
    </row>
    <row r="232" spans="1:12" s="14" customFormat="1">
      <c r="A232" s="87"/>
      <c r="B232" s="53" t="s">
        <v>363</v>
      </c>
      <c r="C232" s="67" t="s">
        <v>23</v>
      </c>
      <c r="D232" s="53" t="s">
        <v>152</v>
      </c>
      <c r="E232" s="89" t="s">
        <v>153</v>
      </c>
      <c r="F232" s="94" t="s">
        <v>154</v>
      </c>
      <c r="G232" s="67" t="s">
        <v>108</v>
      </c>
      <c r="H232" s="67">
        <v>1</v>
      </c>
      <c r="I232" s="55">
        <v>36.619999999999997</v>
      </c>
      <c r="J232" s="54">
        <f>H232*I232</f>
        <v>36.619999999999997</v>
      </c>
      <c r="K232" s="55">
        <f>I232*(1+$L$11)</f>
        <v>45.774999999999999</v>
      </c>
      <c r="L232" s="55">
        <f>H232*K232</f>
        <v>45.774999999999999</v>
      </c>
    </row>
    <row r="233" spans="1:12" s="14" customFormat="1" hidden="1">
      <c r="A233" s="87"/>
      <c r="B233" s="87"/>
      <c r="C233" s="67" t="s">
        <v>23</v>
      </c>
      <c r="D233" s="67"/>
      <c r="E233" s="89"/>
      <c r="F233" s="94"/>
      <c r="G233" s="67"/>
      <c r="H233" s="67"/>
      <c r="I233" s="55"/>
      <c r="J233" s="54"/>
      <c r="K233" s="84"/>
      <c r="L233" s="53"/>
    </row>
    <row r="234" spans="1:12" s="14" customFormat="1" hidden="1">
      <c r="A234" s="87"/>
      <c r="B234" s="87"/>
      <c r="C234" s="67"/>
      <c r="D234" s="67"/>
      <c r="E234" s="97" t="s">
        <v>124</v>
      </c>
      <c r="F234" s="94"/>
      <c r="G234" s="67"/>
      <c r="H234" s="67"/>
      <c r="I234" s="55"/>
      <c r="J234" s="54"/>
      <c r="K234" s="84"/>
      <c r="L234" s="53"/>
    </row>
    <row r="235" spans="1:12" s="14" customFormat="1" hidden="1">
      <c r="A235" s="87"/>
      <c r="B235" s="87"/>
      <c r="C235" s="67" t="s">
        <v>75</v>
      </c>
      <c r="D235" s="67" t="s">
        <v>131</v>
      </c>
      <c r="E235" s="63" t="s">
        <v>132</v>
      </c>
      <c r="F235" s="64" t="s">
        <v>133</v>
      </c>
      <c r="G235" s="67" t="s">
        <v>108</v>
      </c>
      <c r="H235" s="67">
        <v>5</v>
      </c>
      <c r="I235" s="55">
        <v>23.41</v>
      </c>
      <c r="J235" s="54"/>
      <c r="K235" s="84"/>
      <c r="L235" s="53"/>
    </row>
    <row r="236" spans="1:12" s="59" customFormat="1" ht="18.600000000000001" customHeight="1">
      <c r="A236" s="79"/>
      <c r="B236" s="79">
        <v>19</v>
      </c>
      <c r="C236" s="5" t="s">
        <v>364</v>
      </c>
      <c r="D236" s="5"/>
      <c r="E236" s="5"/>
      <c r="F236" s="5"/>
      <c r="G236" s="5"/>
      <c r="H236" s="5"/>
      <c r="I236" s="5"/>
      <c r="J236" s="45"/>
      <c r="K236" s="57"/>
      <c r="L236" s="58"/>
    </row>
    <row r="237" spans="1:12" s="59" customFormat="1">
      <c r="A237" s="87"/>
      <c r="B237" s="53" t="s">
        <v>365</v>
      </c>
      <c r="C237" s="67" t="s">
        <v>23</v>
      </c>
      <c r="D237" s="53" t="s">
        <v>239</v>
      </c>
      <c r="E237" s="89" t="s">
        <v>137</v>
      </c>
      <c r="F237" s="98" t="s">
        <v>240</v>
      </c>
      <c r="G237" s="67" t="s">
        <v>108</v>
      </c>
      <c r="H237" s="67">
        <v>1</v>
      </c>
      <c r="I237" s="55">
        <v>291.62</v>
      </c>
      <c r="J237" s="54">
        <f t="shared" ref="J237:J242" si="21">H237*I237</f>
        <v>291.62</v>
      </c>
      <c r="K237" s="55">
        <f>I237*(1+$L$11)</f>
        <v>364.52499999999998</v>
      </c>
      <c r="L237" s="55">
        <f>H237*K237</f>
        <v>364.52499999999998</v>
      </c>
    </row>
    <row r="238" spans="1:12" s="59" customFormat="1">
      <c r="A238" s="87"/>
      <c r="B238" s="53" t="s">
        <v>366</v>
      </c>
      <c r="C238" s="67" t="s">
        <v>23</v>
      </c>
      <c r="D238" s="53" t="s">
        <v>140</v>
      </c>
      <c r="E238" s="92" t="s">
        <v>141</v>
      </c>
      <c r="F238" s="64" t="s">
        <v>142</v>
      </c>
      <c r="G238" s="67" t="s">
        <v>108</v>
      </c>
      <c r="H238" s="67">
        <v>1</v>
      </c>
      <c r="I238" s="55">
        <v>7.19</v>
      </c>
      <c r="J238" s="54">
        <f t="shared" si="21"/>
        <v>7.19</v>
      </c>
      <c r="K238" s="55">
        <f>I238*(1+$L$11)</f>
        <v>8.9875000000000007</v>
      </c>
      <c r="L238" s="55">
        <f>H238*K238</f>
        <v>8.9875000000000007</v>
      </c>
    </row>
    <row r="239" spans="1:12" s="59" customFormat="1">
      <c r="A239" s="87"/>
      <c r="B239" s="53" t="s">
        <v>367</v>
      </c>
      <c r="C239" s="67" t="s">
        <v>23</v>
      </c>
      <c r="D239" s="53" t="s">
        <v>144</v>
      </c>
      <c r="E239" s="92" t="s">
        <v>145</v>
      </c>
      <c r="F239" s="64" t="s">
        <v>146</v>
      </c>
      <c r="G239" s="67" t="s">
        <v>108</v>
      </c>
      <c r="H239" s="67">
        <v>1</v>
      </c>
      <c r="I239" s="55">
        <v>27.7</v>
      </c>
      <c r="J239" s="54">
        <f t="shared" si="21"/>
        <v>27.7</v>
      </c>
      <c r="K239" s="55">
        <f>I239*(1+$L$11)</f>
        <v>34.625</v>
      </c>
      <c r="L239" s="55">
        <f>H239*K239</f>
        <v>34.625</v>
      </c>
    </row>
    <row r="240" spans="1:12" s="59" customFormat="1" ht="25.5">
      <c r="A240" s="87"/>
      <c r="B240" s="53" t="s">
        <v>368</v>
      </c>
      <c r="C240" s="67" t="s">
        <v>23</v>
      </c>
      <c r="D240" s="53" t="s">
        <v>148</v>
      </c>
      <c r="E240" s="89" t="s">
        <v>149</v>
      </c>
      <c r="F240" s="94" t="s">
        <v>150</v>
      </c>
      <c r="G240" s="67" t="s">
        <v>108</v>
      </c>
      <c r="H240" s="67">
        <v>1</v>
      </c>
      <c r="I240" s="55">
        <v>650.04</v>
      </c>
      <c r="J240" s="54">
        <f t="shared" si="21"/>
        <v>650.04</v>
      </c>
      <c r="K240" s="55">
        <f>I240*(1+$L$11)</f>
        <v>812.55</v>
      </c>
      <c r="L240" s="55">
        <f>H240*K240</f>
        <v>812.55</v>
      </c>
    </row>
    <row r="241" spans="1:12" s="59" customFormat="1">
      <c r="A241" s="87"/>
      <c r="B241" s="53" t="s">
        <v>369</v>
      </c>
      <c r="C241" s="67" t="s">
        <v>23</v>
      </c>
      <c r="D241" s="53" t="s">
        <v>152</v>
      </c>
      <c r="E241" s="89" t="s">
        <v>153</v>
      </c>
      <c r="F241" s="94" t="s">
        <v>154</v>
      </c>
      <c r="G241" s="67" t="s">
        <v>108</v>
      </c>
      <c r="H241" s="67">
        <v>1</v>
      </c>
      <c r="I241" s="55">
        <v>36.619999999999997</v>
      </c>
      <c r="J241" s="54">
        <f t="shared" si="21"/>
        <v>36.619999999999997</v>
      </c>
      <c r="K241" s="55">
        <f>I241*(1+$L$11)</f>
        <v>45.774999999999999</v>
      </c>
      <c r="L241" s="55">
        <f>H241*K241</f>
        <v>45.774999999999999</v>
      </c>
    </row>
    <row r="242" spans="1:12" s="59" customFormat="1" hidden="1">
      <c r="A242" s="87"/>
      <c r="B242" s="87"/>
      <c r="C242" s="100"/>
      <c r="D242" s="53"/>
      <c r="E242" s="96" t="s">
        <v>244</v>
      </c>
      <c r="F242" s="93"/>
      <c r="G242" s="53"/>
      <c r="H242" s="53"/>
      <c r="I242" s="54"/>
      <c r="J242" s="54">
        <f t="shared" si="21"/>
        <v>0</v>
      </c>
      <c r="K242" s="84"/>
      <c r="L242" s="53"/>
    </row>
    <row r="243" spans="1:12" s="59" customFormat="1" hidden="1">
      <c r="A243" s="87"/>
      <c r="B243" s="87"/>
      <c r="C243" s="100"/>
      <c r="D243" s="53"/>
      <c r="E243" s="101"/>
      <c r="F243" s="93"/>
      <c r="G243" s="53"/>
      <c r="H243" s="53"/>
      <c r="I243" s="54"/>
      <c r="J243" s="54"/>
      <c r="K243" s="84"/>
      <c r="L243" s="53"/>
    </row>
    <row r="244" spans="1:12" s="59" customFormat="1" hidden="1">
      <c r="A244" s="87"/>
      <c r="B244" s="87"/>
      <c r="C244" s="100"/>
      <c r="D244" s="53"/>
      <c r="E244" s="97" t="s">
        <v>124</v>
      </c>
      <c r="F244" s="93"/>
      <c r="G244" s="53"/>
      <c r="H244" s="53"/>
      <c r="I244" s="54"/>
      <c r="J244" s="54"/>
      <c r="K244" s="84"/>
      <c r="L244" s="53"/>
    </row>
    <row r="245" spans="1:12" s="59" customFormat="1" hidden="1">
      <c r="A245" s="87"/>
      <c r="B245" s="87"/>
      <c r="C245" s="67" t="s">
        <v>75</v>
      </c>
      <c r="D245" s="67" t="s">
        <v>272</v>
      </c>
      <c r="E245" s="89" t="s">
        <v>273</v>
      </c>
      <c r="F245" s="98" t="s">
        <v>274</v>
      </c>
      <c r="G245" s="67" t="s">
        <v>108</v>
      </c>
      <c r="H245" s="67">
        <v>1</v>
      </c>
      <c r="I245" s="55">
        <v>32.86</v>
      </c>
      <c r="J245" s="54"/>
      <c r="K245" s="84"/>
      <c r="L245" s="53"/>
    </row>
    <row r="246" spans="1:12" s="59" customFormat="1" hidden="1">
      <c r="A246" s="87"/>
      <c r="B246" s="87"/>
      <c r="C246" s="67" t="s">
        <v>75</v>
      </c>
      <c r="D246" s="67" t="s">
        <v>131</v>
      </c>
      <c r="E246" s="63" t="s">
        <v>132</v>
      </c>
      <c r="F246" s="64" t="s">
        <v>133</v>
      </c>
      <c r="G246" s="67" t="s">
        <v>108</v>
      </c>
      <c r="H246" s="67">
        <v>2</v>
      </c>
      <c r="I246" s="55">
        <v>23.41</v>
      </c>
      <c r="J246" s="54"/>
      <c r="K246" s="84"/>
      <c r="L246" s="53"/>
    </row>
    <row r="247" spans="1:12" s="59" customFormat="1" hidden="1">
      <c r="A247" s="87"/>
      <c r="B247" s="87"/>
      <c r="C247" s="67" t="s">
        <v>75</v>
      </c>
      <c r="D247" s="67" t="s">
        <v>223</v>
      </c>
      <c r="E247" s="89" t="s">
        <v>224</v>
      </c>
      <c r="F247" s="68" t="s">
        <v>225</v>
      </c>
      <c r="G247" s="67" t="s">
        <v>108</v>
      </c>
      <c r="H247" s="86">
        <v>1</v>
      </c>
      <c r="I247" s="55">
        <v>70.95</v>
      </c>
      <c r="J247" s="54"/>
      <c r="K247" s="84"/>
      <c r="L247" s="53"/>
    </row>
    <row r="248" spans="1:12" s="59" customFormat="1" ht="18.600000000000001" customHeight="1">
      <c r="A248" s="79"/>
      <c r="B248" s="79">
        <v>20</v>
      </c>
      <c r="C248" s="5" t="s">
        <v>370</v>
      </c>
      <c r="D248" s="5"/>
      <c r="E248" s="5"/>
      <c r="F248" s="5"/>
      <c r="G248" s="5"/>
      <c r="H248" s="5"/>
      <c r="I248" s="5"/>
      <c r="J248" s="45"/>
      <c r="K248" s="57"/>
      <c r="L248" s="58"/>
    </row>
    <row r="249" spans="1:12" s="14" customFormat="1">
      <c r="A249" s="87"/>
      <c r="B249" s="53" t="s">
        <v>371</v>
      </c>
      <c r="C249" s="67" t="s">
        <v>23</v>
      </c>
      <c r="D249" s="53" t="s">
        <v>239</v>
      </c>
      <c r="E249" s="89" t="s">
        <v>137</v>
      </c>
      <c r="F249" s="98" t="s">
        <v>240</v>
      </c>
      <c r="G249" s="67" t="s">
        <v>108</v>
      </c>
      <c r="H249" s="67">
        <v>1</v>
      </c>
      <c r="I249" s="55">
        <v>291.62</v>
      </c>
      <c r="J249" s="54">
        <f t="shared" ref="J249:J256" si="22">H249*I249</f>
        <v>291.62</v>
      </c>
      <c r="K249" s="55">
        <f>I249*(1+$L$11)</f>
        <v>364.52499999999998</v>
      </c>
      <c r="L249" s="55">
        <f>H249*K249</f>
        <v>364.52499999999998</v>
      </c>
    </row>
    <row r="250" spans="1:12" s="14" customFormat="1">
      <c r="A250" s="87"/>
      <c r="B250" s="53" t="s">
        <v>372</v>
      </c>
      <c r="C250" s="67" t="s">
        <v>23</v>
      </c>
      <c r="D250" s="53" t="s">
        <v>140</v>
      </c>
      <c r="E250" s="92" t="s">
        <v>141</v>
      </c>
      <c r="F250" s="64" t="s">
        <v>142</v>
      </c>
      <c r="G250" s="67" t="s">
        <v>108</v>
      </c>
      <c r="H250" s="67">
        <v>1</v>
      </c>
      <c r="I250" s="55">
        <v>7.19</v>
      </c>
      <c r="J250" s="54">
        <f t="shared" si="22"/>
        <v>7.19</v>
      </c>
      <c r="K250" s="55">
        <f>I250*(1+$L$11)</f>
        <v>8.9875000000000007</v>
      </c>
      <c r="L250" s="55">
        <f>H250*K250</f>
        <v>8.9875000000000007</v>
      </c>
    </row>
    <row r="251" spans="1:12" s="14" customFormat="1">
      <c r="A251" s="87"/>
      <c r="B251" s="53" t="s">
        <v>373</v>
      </c>
      <c r="C251" s="67" t="s">
        <v>23</v>
      </c>
      <c r="D251" s="53" t="s">
        <v>144</v>
      </c>
      <c r="E251" s="92" t="s">
        <v>145</v>
      </c>
      <c r="F251" s="64" t="s">
        <v>146</v>
      </c>
      <c r="G251" s="67" t="s">
        <v>108</v>
      </c>
      <c r="H251" s="67">
        <v>1</v>
      </c>
      <c r="I251" s="55">
        <v>27.7</v>
      </c>
      <c r="J251" s="54">
        <f t="shared" si="22"/>
        <v>27.7</v>
      </c>
      <c r="K251" s="55">
        <f>I251*(1+$L$11)</f>
        <v>34.625</v>
      </c>
      <c r="L251" s="55">
        <f>H251*K251</f>
        <v>34.625</v>
      </c>
    </row>
    <row r="252" spans="1:12" s="14" customFormat="1" ht="25.5">
      <c r="A252" s="87"/>
      <c r="B252" s="53" t="s">
        <v>374</v>
      </c>
      <c r="C252" s="67" t="s">
        <v>23</v>
      </c>
      <c r="D252" s="53" t="s">
        <v>148</v>
      </c>
      <c r="E252" s="89" t="s">
        <v>149</v>
      </c>
      <c r="F252" s="94" t="s">
        <v>150</v>
      </c>
      <c r="G252" s="67" t="s">
        <v>108</v>
      </c>
      <c r="H252" s="67">
        <v>1</v>
      </c>
      <c r="I252" s="55">
        <v>650.04</v>
      </c>
      <c r="J252" s="54">
        <f t="shared" si="22"/>
        <v>650.04</v>
      </c>
      <c r="K252" s="55">
        <f>I252*(1+$L$11)</f>
        <v>812.55</v>
      </c>
      <c r="L252" s="55">
        <f>H252*K252</f>
        <v>812.55</v>
      </c>
    </row>
    <row r="253" spans="1:12" s="14" customFormat="1">
      <c r="A253" s="87"/>
      <c r="B253" s="53" t="s">
        <v>375</v>
      </c>
      <c r="C253" s="67" t="s">
        <v>23</v>
      </c>
      <c r="D253" s="53" t="s">
        <v>152</v>
      </c>
      <c r="E253" s="89" t="s">
        <v>153</v>
      </c>
      <c r="F253" s="94" t="s">
        <v>154</v>
      </c>
      <c r="G253" s="67" t="s">
        <v>108</v>
      </c>
      <c r="H253" s="67">
        <v>1</v>
      </c>
      <c r="I253" s="55">
        <v>36.619999999999997</v>
      </c>
      <c r="J253" s="54">
        <f t="shared" si="22"/>
        <v>36.619999999999997</v>
      </c>
      <c r="K253" s="55">
        <f>I253*(1+$L$11)</f>
        <v>45.774999999999999</v>
      </c>
      <c r="L253" s="55">
        <f>H253*K253</f>
        <v>45.774999999999999</v>
      </c>
    </row>
    <row r="254" spans="1:12" s="14" customFormat="1" hidden="1">
      <c r="A254" s="87"/>
      <c r="B254" s="53"/>
      <c r="C254" s="100"/>
      <c r="D254" s="53"/>
      <c r="E254" s="96" t="s">
        <v>244</v>
      </c>
      <c r="F254" s="93"/>
      <c r="G254" s="53"/>
      <c r="H254" s="53"/>
      <c r="I254" s="54"/>
      <c r="J254" s="54">
        <f t="shared" si="22"/>
        <v>0</v>
      </c>
      <c r="K254" s="84"/>
      <c r="L254" s="55"/>
    </row>
    <row r="255" spans="1:12" s="14" customFormat="1">
      <c r="A255" s="87"/>
      <c r="B255" s="53" t="s">
        <v>376</v>
      </c>
      <c r="C255" s="67" t="s">
        <v>23</v>
      </c>
      <c r="D255" s="53" t="s">
        <v>213</v>
      </c>
      <c r="E255" s="89" t="s">
        <v>377</v>
      </c>
      <c r="F255" s="68" t="s">
        <v>215</v>
      </c>
      <c r="G255" s="67" t="s">
        <v>27</v>
      </c>
      <c r="H255" s="69">
        <f>0.09*0.92</f>
        <v>8.2799999999999999E-2</v>
      </c>
      <c r="I255" s="55">
        <v>118.6</v>
      </c>
      <c r="J255" s="54">
        <f t="shared" si="22"/>
        <v>9.820079999999999</v>
      </c>
      <c r="K255" s="55">
        <f>I255*(1+$L$11)</f>
        <v>148.25</v>
      </c>
      <c r="L255" s="55">
        <f>H255*K255</f>
        <v>12.2751</v>
      </c>
    </row>
    <row r="256" spans="1:12" s="14" customFormat="1">
      <c r="A256" s="87"/>
      <c r="B256" s="53" t="s">
        <v>378</v>
      </c>
      <c r="C256" s="67" t="s">
        <v>23</v>
      </c>
      <c r="D256" s="53" t="s">
        <v>217</v>
      </c>
      <c r="E256" s="89" t="s">
        <v>218</v>
      </c>
      <c r="F256" s="68" t="s">
        <v>219</v>
      </c>
      <c r="G256" s="67" t="s">
        <v>27</v>
      </c>
      <c r="H256" s="69">
        <f>H255</f>
        <v>8.2799999999999999E-2</v>
      </c>
      <c r="I256" s="55">
        <v>13.54</v>
      </c>
      <c r="J256" s="54">
        <f t="shared" si="22"/>
        <v>1.1211119999999999</v>
      </c>
      <c r="K256" s="55">
        <f>I256*(1+$L$11)</f>
        <v>16.924999999999997</v>
      </c>
      <c r="L256" s="55">
        <f>H256*K256</f>
        <v>1.4013899999999997</v>
      </c>
    </row>
    <row r="257" spans="1:12" s="14" customFormat="1" hidden="1">
      <c r="A257" s="87"/>
      <c r="B257" s="87"/>
      <c r="C257" s="67"/>
      <c r="D257" s="67"/>
      <c r="E257" s="89"/>
      <c r="F257" s="68"/>
      <c r="G257" s="67"/>
      <c r="H257" s="69"/>
      <c r="I257" s="55"/>
      <c r="J257" s="54"/>
      <c r="K257" s="84"/>
      <c r="L257" s="53"/>
    </row>
    <row r="258" spans="1:12" s="14" customFormat="1" hidden="1">
      <c r="A258" s="87"/>
      <c r="B258" s="87"/>
      <c r="C258" s="67"/>
      <c r="D258" s="67"/>
      <c r="E258" s="97" t="s">
        <v>124</v>
      </c>
      <c r="F258" s="68"/>
      <c r="G258" s="67"/>
      <c r="H258" s="69"/>
      <c r="I258" s="55"/>
      <c r="J258" s="54"/>
      <c r="K258" s="84"/>
      <c r="L258" s="53"/>
    </row>
    <row r="259" spans="1:12" s="14" customFormat="1" hidden="1">
      <c r="A259" s="87"/>
      <c r="B259" s="87"/>
      <c r="C259" s="67" t="s">
        <v>75</v>
      </c>
      <c r="D259" s="67" t="s">
        <v>272</v>
      </c>
      <c r="E259" s="89" t="s">
        <v>273</v>
      </c>
      <c r="F259" s="98" t="s">
        <v>274</v>
      </c>
      <c r="G259" s="67" t="s">
        <v>108</v>
      </c>
      <c r="H259" s="67">
        <v>1</v>
      </c>
      <c r="I259" s="55">
        <v>32.86</v>
      </c>
      <c r="J259" s="54"/>
      <c r="K259" s="84"/>
      <c r="L259" s="53"/>
    </row>
    <row r="260" spans="1:12" s="14" customFormat="1" hidden="1">
      <c r="A260" s="87"/>
      <c r="B260" s="87"/>
      <c r="C260" s="67" t="s">
        <v>75</v>
      </c>
      <c r="D260" s="67" t="s">
        <v>131</v>
      </c>
      <c r="E260" s="63" t="s">
        <v>132</v>
      </c>
      <c r="F260" s="64" t="s">
        <v>133</v>
      </c>
      <c r="G260" s="67" t="s">
        <v>108</v>
      </c>
      <c r="H260" s="67">
        <v>6</v>
      </c>
      <c r="I260" s="55">
        <v>23.41</v>
      </c>
      <c r="J260" s="54"/>
      <c r="K260" s="84"/>
      <c r="L260" s="53"/>
    </row>
    <row r="261" spans="1:12" s="14" customFormat="1" hidden="1">
      <c r="A261" s="87"/>
      <c r="B261" s="87"/>
      <c r="C261" s="67" t="s">
        <v>75</v>
      </c>
      <c r="D261" s="67" t="s">
        <v>257</v>
      </c>
      <c r="E261" s="89" t="s">
        <v>258</v>
      </c>
      <c r="F261" s="98" t="s">
        <v>259</v>
      </c>
      <c r="G261" s="67" t="s">
        <v>108</v>
      </c>
      <c r="H261" s="67">
        <v>1</v>
      </c>
      <c r="I261" s="55">
        <v>34.39</v>
      </c>
      <c r="J261" s="54"/>
      <c r="K261" s="84"/>
      <c r="L261" s="53"/>
    </row>
    <row r="262" spans="1:12" s="14" customFormat="1" hidden="1">
      <c r="A262" s="87"/>
      <c r="B262" s="87"/>
      <c r="C262" s="67" t="s">
        <v>75</v>
      </c>
      <c r="D262" s="67" t="s">
        <v>223</v>
      </c>
      <c r="E262" s="89" t="s">
        <v>224</v>
      </c>
      <c r="F262" s="68" t="s">
        <v>225</v>
      </c>
      <c r="G262" s="67" t="s">
        <v>108</v>
      </c>
      <c r="H262" s="86">
        <v>1</v>
      </c>
      <c r="I262" s="55">
        <v>70.95</v>
      </c>
      <c r="J262" s="54"/>
      <c r="K262" s="84"/>
      <c r="L262" s="53"/>
    </row>
    <row r="263" spans="1:12" s="59" customFormat="1" ht="18.600000000000001" hidden="1" customHeight="1">
      <c r="A263" s="79"/>
      <c r="B263" s="87"/>
      <c r="C263" s="5" t="s">
        <v>379</v>
      </c>
      <c r="D263" s="5"/>
      <c r="E263" s="5"/>
      <c r="F263" s="5"/>
      <c r="G263" s="5"/>
      <c r="H263" s="5"/>
      <c r="I263" s="5"/>
      <c r="J263" s="45">
        <f>SUM(J264:J265)</f>
        <v>0</v>
      </c>
      <c r="K263" s="84"/>
      <c r="L263" s="53"/>
    </row>
    <row r="264" spans="1:12" hidden="1">
      <c r="A264" s="80" t="s">
        <v>322</v>
      </c>
      <c r="B264" s="87"/>
      <c r="C264" s="67" t="s">
        <v>75</v>
      </c>
      <c r="D264" s="53" t="s">
        <v>96</v>
      </c>
      <c r="E264" s="89" t="s">
        <v>97</v>
      </c>
      <c r="F264" s="93" t="s">
        <v>98</v>
      </c>
      <c r="G264" s="67" t="s">
        <v>33</v>
      </c>
      <c r="H264" s="67">
        <v>8.4</v>
      </c>
      <c r="I264" s="55">
        <v>26.31</v>
      </c>
      <c r="J264" s="55"/>
      <c r="K264" s="84"/>
      <c r="L264" s="53"/>
    </row>
    <row r="265" spans="1:12" hidden="1">
      <c r="A265" s="80" t="s">
        <v>324</v>
      </c>
      <c r="B265" s="87"/>
      <c r="C265" s="67" t="s">
        <v>66</v>
      </c>
      <c r="D265" s="53" t="s">
        <v>67</v>
      </c>
      <c r="E265" s="63" t="s">
        <v>68</v>
      </c>
      <c r="F265" s="74" t="s">
        <v>69</v>
      </c>
      <c r="G265" s="67" t="s">
        <v>33</v>
      </c>
      <c r="H265" s="67">
        <f>2.7+2.7</f>
        <v>5.4</v>
      </c>
      <c r="I265" s="65">
        <v>816.14</v>
      </c>
      <c r="J265" s="55"/>
      <c r="K265" s="84"/>
      <c r="L265" s="53"/>
    </row>
    <row r="266" spans="1:12" hidden="1">
      <c r="A266" s="80"/>
      <c r="B266" s="87"/>
      <c r="C266" s="67"/>
      <c r="D266" s="67"/>
      <c r="E266" s="89"/>
      <c r="F266" s="74"/>
      <c r="G266" s="67"/>
      <c r="H266" s="67"/>
      <c r="I266" s="65"/>
      <c r="J266" s="55"/>
      <c r="K266" s="84"/>
      <c r="L266" s="53"/>
    </row>
    <row r="267" spans="1:12" hidden="1">
      <c r="A267" s="80"/>
      <c r="B267" s="87"/>
      <c r="C267" s="67"/>
      <c r="D267" s="67"/>
      <c r="E267" s="97" t="s">
        <v>124</v>
      </c>
      <c r="F267" s="74"/>
      <c r="G267" s="67"/>
      <c r="H267" s="67"/>
      <c r="I267" s="65"/>
      <c r="J267" s="55"/>
      <c r="K267" s="84"/>
      <c r="L267" s="53"/>
    </row>
    <row r="268" spans="1:12" hidden="1">
      <c r="A268" s="80"/>
      <c r="B268" s="87"/>
      <c r="C268" s="67" t="s">
        <v>75</v>
      </c>
      <c r="D268" s="67" t="s">
        <v>380</v>
      </c>
      <c r="E268" s="89" t="s">
        <v>381</v>
      </c>
      <c r="F268" s="74" t="s">
        <v>382</v>
      </c>
      <c r="G268" s="67" t="s">
        <v>108</v>
      </c>
      <c r="H268" s="67">
        <v>2</v>
      </c>
      <c r="I268" s="65">
        <v>20.75</v>
      </c>
      <c r="J268" s="55"/>
      <c r="K268" s="84"/>
      <c r="L268" s="53"/>
    </row>
    <row r="269" spans="1:12" hidden="1">
      <c r="A269" s="80"/>
      <c r="B269" s="87"/>
      <c r="C269" s="67" t="s">
        <v>75</v>
      </c>
      <c r="D269" s="67" t="s">
        <v>131</v>
      </c>
      <c r="E269" s="63" t="s">
        <v>132</v>
      </c>
      <c r="F269" s="64" t="s">
        <v>133</v>
      </c>
      <c r="G269" s="67" t="s">
        <v>108</v>
      </c>
      <c r="H269" s="67">
        <v>3</v>
      </c>
      <c r="I269" s="55">
        <v>23.41</v>
      </c>
      <c r="J269" s="55"/>
      <c r="K269" s="84"/>
      <c r="L269" s="53"/>
    </row>
    <row r="270" spans="1:12" ht="20.85" hidden="1" customHeight="1">
      <c r="A270" s="79"/>
      <c r="B270" s="87"/>
      <c r="C270" s="5" t="s">
        <v>383</v>
      </c>
      <c r="D270" s="5"/>
      <c r="E270" s="5"/>
      <c r="F270" s="5"/>
      <c r="G270" s="5"/>
      <c r="H270" s="5"/>
      <c r="I270" s="5"/>
      <c r="J270" s="5"/>
      <c r="K270" s="84"/>
      <c r="L270" s="53"/>
    </row>
    <row r="271" spans="1:12" hidden="1">
      <c r="A271" s="87"/>
      <c r="B271" s="87"/>
      <c r="C271" s="100"/>
      <c r="D271" s="53"/>
      <c r="E271" s="97" t="s">
        <v>124</v>
      </c>
      <c r="F271" s="64"/>
      <c r="G271" s="53"/>
      <c r="H271" s="53"/>
      <c r="I271" s="54"/>
      <c r="J271" s="54"/>
      <c r="K271" s="84"/>
      <c r="L271" s="53"/>
    </row>
    <row r="272" spans="1:12" hidden="1">
      <c r="A272" s="87"/>
      <c r="B272" s="87"/>
      <c r="C272" s="67" t="s">
        <v>75</v>
      </c>
      <c r="D272" s="67" t="s">
        <v>131</v>
      </c>
      <c r="E272" s="63" t="s">
        <v>132</v>
      </c>
      <c r="F272" s="64" t="s">
        <v>133</v>
      </c>
      <c r="G272" s="67" t="s">
        <v>108</v>
      </c>
      <c r="H272" s="67">
        <v>1</v>
      </c>
      <c r="I272" s="55">
        <v>23.41</v>
      </c>
      <c r="J272" s="54"/>
      <c r="K272" s="84"/>
      <c r="L272" s="53"/>
    </row>
    <row r="273" spans="1:12" ht="20.85" hidden="1" customHeight="1">
      <c r="A273" s="79"/>
      <c r="B273" s="87"/>
      <c r="C273" s="5" t="s">
        <v>384</v>
      </c>
      <c r="D273" s="5"/>
      <c r="E273" s="5"/>
      <c r="F273" s="5"/>
      <c r="G273" s="5"/>
      <c r="H273" s="5"/>
      <c r="I273" s="5"/>
      <c r="J273" s="5"/>
      <c r="K273" s="84"/>
      <c r="L273" s="53"/>
    </row>
    <row r="274" spans="1:12" s="14" customFormat="1" hidden="1">
      <c r="A274" s="87"/>
      <c r="B274" s="87"/>
      <c r="C274" s="93"/>
      <c r="D274" s="53"/>
      <c r="E274" s="97" t="s">
        <v>124</v>
      </c>
      <c r="F274" s="64"/>
      <c r="G274" s="53"/>
      <c r="H274" s="53"/>
      <c r="I274" s="54"/>
      <c r="J274" s="54"/>
      <c r="K274" s="84"/>
      <c r="L274" s="53"/>
    </row>
    <row r="275" spans="1:12" s="14" customFormat="1" hidden="1">
      <c r="A275" s="87"/>
      <c r="B275" s="87"/>
      <c r="C275" s="67" t="s">
        <v>75</v>
      </c>
      <c r="D275" s="67" t="s">
        <v>128</v>
      </c>
      <c r="E275" s="63" t="s">
        <v>129</v>
      </c>
      <c r="F275" s="64" t="s">
        <v>130</v>
      </c>
      <c r="G275" s="67" t="s">
        <v>108</v>
      </c>
      <c r="H275" s="67">
        <v>1</v>
      </c>
      <c r="I275" s="55">
        <v>24.64</v>
      </c>
      <c r="J275" s="54"/>
      <c r="K275" s="84"/>
      <c r="L275" s="53"/>
    </row>
    <row r="276" spans="1:12" s="14" customFormat="1" hidden="1">
      <c r="A276" s="87"/>
      <c r="B276" s="87"/>
      <c r="C276" s="67" t="s">
        <v>75</v>
      </c>
      <c r="D276" s="67" t="s">
        <v>272</v>
      </c>
      <c r="E276" s="89" t="s">
        <v>273</v>
      </c>
      <c r="F276" s="98" t="s">
        <v>274</v>
      </c>
      <c r="G276" s="67" t="s">
        <v>108</v>
      </c>
      <c r="H276" s="67">
        <v>1</v>
      </c>
      <c r="I276" s="55">
        <v>32.86</v>
      </c>
      <c r="J276" s="54"/>
      <c r="K276" s="84"/>
      <c r="L276" s="53"/>
    </row>
    <row r="277" spans="1:12" s="14" customFormat="1" hidden="1">
      <c r="A277" s="87"/>
      <c r="B277" s="87"/>
      <c r="C277" s="67" t="s">
        <v>75</v>
      </c>
      <c r="D277" s="67" t="s">
        <v>131</v>
      </c>
      <c r="E277" s="63" t="s">
        <v>132</v>
      </c>
      <c r="F277" s="64" t="s">
        <v>133</v>
      </c>
      <c r="G277" s="67" t="s">
        <v>108</v>
      </c>
      <c r="H277" s="67">
        <v>8</v>
      </c>
      <c r="I277" s="55">
        <v>23.41</v>
      </c>
      <c r="J277" s="54"/>
      <c r="K277" s="84"/>
      <c r="L277" s="53"/>
    </row>
    <row r="278" spans="1:12" s="14" customFormat="1" hidden="1">
      <c r="A278" s="87"/>
      <c r="B278" s="87"/>
      <c r="C278" s="67" t="s">
        <v>75</v>
      </c>
      <c r="D278" s="67" t="s">
        <v>223</v>
      </c>
      <c r="E278" s="89" t="s">
        <v>224</v>
      </c>
      <c r="F278" s="68" t="s">
        <v>225</v>
      </c>
      <c r="G278" s="67" t="s">
        <v>108</v>
      </c>
      <c r="H278" s="86">
        <v>1</v>
      </c>
      <c r="I278" s="55">
        <v>70.95</v>
      </c>
      <c r="J278" s="54"/>
      <c r="K278" s="84"/>
      <c r="L278" s="53"/>
    </row>
    <row r="279" spans="1:12" s="14" customFormat="1" ht="20.85" customHeight="1">
      <c r="A279" s="79"/>
      <c r="B279" s="79">
        <v>21</v>
      </c>
      <c r="C279" s="5" t="s">
        <v>385</v>
      </c>
      <c r="D279" s="5"/>
      <c r="E279" s="5"/>
      <c r="F279" s="5"/>
      <c r="G279" s="5"/>
      <c r="H279" s="5"/>
      <c r="I279" s="5"/>
      <c r="J279" s="45"/>
      <c r="K279" s="57"/>
      <c r="L279" s="58"/>
    </row>
    <row r="280" spans="1:12" s="14" customFormat="1">
      <c r="A280" s="87"/>
      <c r="B280" s="53" t="s">
        <v>386</v>
      </c>
      <c r="C280" s="67" t="s">
        <v>23</v>
      </c>
      <c r="D280" s="53" t="s">
        <v>213</v>
      </c>
      <c r="E280" s="101" t="s">
        <v>387</v>
      </c>
      <c r="F280" s="68" t="s">
        <v>215</v>
      </c>
      <c r="G280" s="67" t="s">
        <v>27</v>
      </c>
      <c r="H280" s="69">
        <f>0.69*0.2</f>
        <v>0.13799999999999998</v>
      </c>
      <c r="I280" s="55">
        <v>118.6</v>
      </c>
      <c r="J280" s="54">
        <f>H280*I280</f>
        <v>16.366799999999998</v>
      </c>
      <c r="K280" s="55">
        <f>I280*(1+$L$11)</f>
        <v>148.25</v>
      </c>
      <c r="L280" s="55">
        <f>H280*K280</f>
        <v>20.458499999999997</v>
      </c>
    </row>
    <row r="281" spans="1:12" s="14" customFormat="1">
      <c r="A281" s="87"/>
      <c r="B281" s="53" t="s">
        <v>388</v>
      </c>
      <c r="C281" s="67" t="s">
        <v>23</v>
      </c>
      <c r="D281" s="53" t="s">
        <v>217</v>
      </c>
      <c r="E281" s="89" t="s">
        <v>218</v>
      </c>
      <c r="F281" s="68" t="s">
        <v>219</v>
      </c>
      <c r="G281" s="67" t="s">
        <v>27</v>
      </c>
      <c r="H281" s="69">
        <f>H280</f>
        <v>0.13799999999999998</v>
      </c>
      <c r="I281" s="55">
        <v>13.54</v>
      </c>
      <c r="J281" s="54">
        <f>H281*I281</f>
        <v>1.8685199999999997</v>
      </c>
      <c r="K281" s="55">
        <f>I281*(1+$L$11)</f>
        <v>16.924999999999997</v>
      </c>
      <c r="L281" s="55">
        <f>H281*K281</f>
        <v>2.3356499999999993</v>
      </c>
    </row>
    <row r="282" spans="1:12" s="14" customFormat="1" hidden="1">
      <c r="A282" s="87"/>
      <c r="B282" s="87"/>
      <c r="C282" s="67"/>
      <c r="D282" s="67"/>
      <c r="E282" s="89"/>
      <c r="F282" s="68"/>
      <c r="G282" s="67"/>
      <c r="H282" s="69"/>
      <c r="I282" s="55"/>
      <c r="J282" s="54"/>
      <c r="K282" s="84"/>
      <c r="L282" s="53"/>
    </row>
    <row r="283" spans="1:12" s="14" customFormat="1" hidden="1">
      <c r="A283" s="87"/>
      <c r="B283" s="87"/>
      <c r="C283" s="67"/>
      <c r="D283" s="67"/>
      <c r="E283" s="97" t="s">
        <v>124</v>
      </c>
      <c r="F283" s="68"/>
      <c r="G283" s="67"/>
      <c r="H283" s="69"/>
      <c r="I283" s="55"/>
      <c r="J283" s="54"/>
      <c r="K283" s="84"/>
      <c r="L283" s="53"/>
    </row>
    <row r="284" spans="1:12" s="14" customFormat="1" hidden="1">
      <c r="A284" s="87"/>
      <c r="B284" s="87"/>
      <c r="C284" s="67" t="s">
        <v>75</v>
      </c>
      <c r="D284" s="67" t="s">
        <v>272</v>
      </c>
      <c r="E284" s="89" t="s">
        <v>273</v>
      </c>
      <c r="F284" s="98" t="s">
        <v>274</v>
      </c>
      <c r="G284" s="67" t="s">
        <v>108</v>
      </c>
      <c r="H284" s="67">
        <v>1</v>
      </c>
      <c r="I284" s="55">
        <v>32.86</v>
      </c>
      <c r="J284" s="54"/>
      <c r="K284" s="84"/>
      <c r="L284" s="53"/>
    </row>
    <row r="285" spans="1:12" s="14" customFormat="1" hidden="1">
      <c r="A285" s="87"/>
      <c r="B285" s="87"/>
      <c r="C285" s="67" t="s">
        <v>75</v>
      </c>
      <c r="D285" s="67" t="s">
        <v>131</v>
      </c>
      <c r="E285" s="63" t="s">
        <v>132</v>
      </c>
      <c r="F285" s="64" t="s">
        <v>133</v>
      </c>
      <c r="G285" s="67" t="s">
        <v>108</v>
      </c>
      <c r="H285" s="67">
        <v>8</v>
      </c>
      <c r="I285" s="55">
        <v>23.41</v>
      </c>
      <c r="J285" s="54"/>
      <c r="K285" s="84"/>
      <c r="L285" s="53"/>
    </row>
    <row r="286" spans="1:12" s="14" customFormat="1" hidden="1">
      <c r="A286" s="87"/>
      <c r="B286" s="87"/>
      <c r="C286" s="67" t="s">
        <v>75</v>
      </c>
      <c r="D286" s="67" t="s">
        <v>223</v>
      </c>
      <c r="E286" s="89" t="s">
        <v>224</v>
      </c>
      <c r="F286" s="68" t="s">
        <v>225</v>
      </c>
      <c r="G286" s="67" t="s">
        <v>108</v>
      </c>
      <c r="H286" s="86">
        <v>3</v>
      </c>
      <c r="I286" s="55">
        <v>70.95</v>
      </c>
      <c r="J286" s="54"/>
      <c r="K286" s="84"/>
      <c r="L286" s="53"/>
    </row>
    <row r="287" spans="1:12" s="14" customFormat="1" ht="20.85" hidden="1" customHeight="1">
      <c r="A287" s="79"/>
      <c r="B287" s="87"/>
      <c r="C287" s="5" t="s">
        <v>389</v>
      </c>
      <c r="D287" s="5"/>
      <c r="E287" s="5"/>
      <c r="F287" s="5"/>
      <c r="G287" s="5"/>
      <c r="H287" s="5"/>
      <c r="I287" s="5"/>
      <c r="J287" s="5"/>
      <c r="K287" s="84"/>
      <c r="L287" s="53"/>
    </row>
    <row r="288" spans="1:12" s="14" customFormat="1" hidden="1">
      <c r="A288" s="87"/>
      <c r="B288" s="87"/>
      <c r="C288" s="100"/>
      <c r="D288" s="53"/>
      <c r="E288" s="97" t="s">
        <v>124</v>
      </c>
      <c r="F288" s="93"/>
      <c r="G288" s="53"/>
      <c r="H288" s="102"/>
      <c r="I288" s="54"/>
      <c r="J288" s="54"/>
      <c r="K288" s="84"/>
      <c r="L288" s="53"/>
    </row>
    <row r="289" spans="1:12" s="14" customFormat="1" hidden="1">
      <c r="A289" s="87"/>
      <c r="B289" s="87"/>
      <c r="C289" s="67" t="s">
        <v>75</v>
      </c>
      <c r="D289" s="67" t="s">
        <v>131</v>
      </c>
      <c r="E289" s="63" t="s">
        <v>132</v>
      </c>
      <c r="F289" s="64" t="s">
        <v>133</v>
      </c>
      <c r="G289" s="67" t="s">
        <v>108</v>
      </c>
      <c r="H289" s="67">
        <v>4</v>
      </c>
      <c r="I289" s="55">
        <v>23.41</v>
      </c>
      <c r="J289" s="54"/>
      <c r="K289" s="84"/>
      <c r="L289" s="53"/>
    </row>
    <row r="290" spans="1:12" s="14" customFormat="1" ht="20.85" customHeight="1">
      <c r="A290" s="79"/>
      <c r="B290" s="79">
        <v>22</v>
      </c>
      <c r="C290" s="5" t="s">
        <v>390</v>
      </c>
      <c r="D290" s="5"/>
      <c r="E290" s="5"/>
      <c r="F290" s="5"/>
      <c r="G290" s="5"/>
      <c r="H290" s="5"/>
      <c r="I290" s="5"/>
      <c r="J290" s="45"/>
      <c r="K290" s="57"/>
      <c r="L290" s="58"/>
    </row>
    <row r="291" spans="1:12" s="14" customFormat="1">
      <c r="A291" s="87"/>
      <c r="B291" s="53" t="s">
        <v>391</v>
      </c>
      <c r="C291" s="67" t="s">
        <v>23</v>
      </c>
      <c r="D291" s="53" t="s">
        <v>213</v>
      </c>
      <c r="E291" s="89" t="s">
        <v>392</v>
      </c>
      <c r="F291" s="68" t="s">
        <v>215</v>
      </c>
      <c r="G291" s="67" t="s">
        <v>27</v>
      </c>
      <c r="H291" s="69">
        <f>2*0.62*0.15</f>
        <v>0.186</v>
      </c>
      <c r="I291" s="55">
        <v>118.6</v>
      </c>
      <c r="J291" s="54">
        <f>H291*I291</f>
        <v>22.0596</v>
      </c>
      <c r="K291" s="55">
        <f>I291*(1+$L$11)</f>
        <v>148.25</v>
      </c>
      <c r="L291" s="55">
        <f>H291*K291</f>
        <v>27.5745</v>
      </c>
    </row>
    <row r="292" spans="1:12" s="14" customFormat="1">
      <c r="A292" s="87"/>
      <c r="B292" s="53" t="s">
        <v>393</v>
      </c>
      <c r="C292" s="67" t="s">
        <v>23</v>
      </c>
      <c r="D292" s="53" t="s">
        <v>217</v>
      </c>
      <c r="E292" s="89" t="s">
        <v>218</v>
      </c>
      <c r="F292" s="68" t="s">
        <v>219</v>
      </c>
      <c r="G292" s="67" t="s">
        <v>27</v>
      </c>
      <c r="H292" s="69">
        <f>H291</f>
        <v>0.186</v>
      </c>
      <c r="I292" s="55">
        <v>13.54</v>
      </c>
      <c r="J292" s="54">
        <f>H292*I292</f>
        <v>2.51844</v>
      </c>
      <c r="K292" s="55">
        <f>I292*(1+$L$11)</f>
        <v>16.924999999999997</v>
      </c>
      <c r="L292" s="55">
        <f>H292*K292</f>
        <v>3.1480499999999996</v>
      </c>
    </row>
    <row r="293" spans="1:12" s="14" customFormat="1" hidden="1">
      <c r="A293" s="87"/>
      <c r="B293" s="87"/>
      <c r="C293" s="67"/>
      <c r="D293" s="67"/>
      <c r="E293" s="89"/>
      <c r="F293" s="68"/>
      <c r="G293" s="67"/>
      <c r="H293" s="69"/>
      <c r="I293" s="55"/>
      <c r="J293" s="54"/>
      <c r="K293" s="84"/>
      <c r="L293" s="53"/>
    </row>
    <row r="294" spans="1:12" s="14" customFormat="1" hidden="1">
      <c r="A294" s="87"/>
      <c r="B294" s="87"/>
      <c r="C294" s="67"/>
      <c r="D294" s="67"/>
      <c r="E294" s="97" t="s">
        <v>124</v>
      </c>
      <c r="F294" s="68"/>
      <c r="G294" s="67"/>
      <c r="H294" s="69"/>
      <c r="I294" s="55"/>
      <c r="J294" s="54"/>
      <c r="K294" s="84"/>
      <c r="L294" s="53"/>
    </row>
    <row r="295" spans="1:12" s="14" customFormat="1" hidden="1">
      <c r="A295" s="87"/>
      <c r="B295" s="87"/>
      <c r="C295" s="67" t="s">
        <v>75</v>
      </c>
      <c r="D295" s="67" t="s">
        <v>131</v>
      </c>
      <c r="E295" s="63" t="s">
        <v>132</v>
      </c>
      <c r="F295" s="64" t="s">
        <v>133</v>
      </c>
      <c r="G295" s="67" t="s">
        <v>108</v>
      </c>
      <c r="H295" s="67">
        <v>3</v>
      </c>
      <c r="I295" s="55">
        <v>23.41</v>
      </c>
      <c r="J295" s="54"/>
      <c r="K295" s="84"/>
      <c r="L295" s="53"/>
    </row>
    <row r="296" spans="1:12" s="14" customFormat="1" hidden="1">
      <c r="A296" s="87"/>
      <c r="B296" s="87"/>
      <c r="C296" s="67" t="s">
        <v>75</v>
      </c>
      <c r="D296" s="67" t="s">
        <v>223</v>
      </c>
      <c r="E296" s="89" t="s">
        <v>224</v>
      </c>
      <c r="F296" s="68" t="s">
        <v>225</v>
      </c>
      <c r="G296" s="67" t="s">
        <v>108</v>
      </c>
      <c r="H296" s="86">
        <v>2</v>
      </c>
      <c r="I296" s="55">
        <v>70.95</v>
      </c>
      <c r="J296" s="54"/>
      <c r="K296" s="84"/>
      <c r="L296" s="53"/>
    </row>
    <row r="297" spans="1:12" s="14" customFormat="1" ht="20.85" customHeight="1">
      <c r="A297" s="79"/>
      <c r="B297" s="79">
        <v>23</v>
      </c>
      <c r="C297" s="5" t="s">
        <v>394</v>
      </c>
      <c r="D297" s="5"/>
      <c r="E297" s="5"/>
      <c r="F297" s="5"/>
      <c r="G297" s="5"/>
      <c r="H297" s="5"/>
      <c r="I297" s="5"/>
      <c r="J297" s="45"/>
      <c r="K297" s="57"/>
      <c r="L297" s="58"/>
    </row>
    <row r="298" spans="1:12" s="14" customFormat="1">
      <c r="A298" s="87"/>
      <c r="B298" s="53" t="s">
        <v>395</v>
      </c>
      <c r="C298" s="53" t="s">
        <v>23</v>
      </c>
      <c r="D298" s="53" t="s">
        <v>277</v>
      </c>
      <c r="E298" s="101" t="s">
        <v>278</v>
      </c>
      <c r="F298" s="93" t="s">
        <v>279</v>
      </c>
      <c r="G298" s="53" t="s">
        <v>108</v>
      </c>
      <c r="H298" s="53">
        <v>1</v>
      </c>
      <c r="I298" s="54">
        <v>288.14</v>
      </c>
      <c r="J298" s="54">
        <f>H298*I298</f>
        <v>288.14</v>
      </c>
      <c r="K298" s="55">
        <f>I298*(1+$L$11)</f>
        <v>360.17499999999995</v>
      </c>
      <c r="L298" s="55">
        <f>H298*K298</f>
        <v>360.17499999999995</v>
      </c>
    </row>
    <row r="299" spans="1:12" s="14" customFormat="1">
      <c r="A299" s="87"/>
      <c r="B299" s="53" t="s">
        <v>396</v>
      </c>
      <c r="C299" s="67" t="s">
        <v>4</v>
      </c>
      <c r="D299" s="53">
        <v>3090</v>
      </c>
      <c r="E299" s="89" t="s">
        <v>350</v>
      </c>
      <c r="F299" s="74" t="s">
        <v>351</v>
      </c>
      <c r="G299" s="67" t="s">
        <v>108</v>
      </c>
      <c r="H299" s="67">
        <v>1</v>
      </c>
      <c r="I299" s="55">
        <v>84.79</v>
      </c>
      <c r="J299" s="54">
        <f>H299*I299</f>
        <v>84.79</v>
      </c>
      <c r="K299" s="55">
        <f>I299*(1+$L$11)</f>
        <v>105.98750000000001</v>
      </c>
      <c r="L299" s="55">
        <f>H299*K299</f>
        <v>105.98750000000001</v>
      </c>
    </row>
    <row r="300" spans="1:12" s="14" customFormat="1" hidden="1">
      <c r="A300" s="87"/>
      <c r="B300" s="87"/>
      <c r="C300" s="67"/>
      <c r="D300" s="67"/>
      <c r="E300" s="89"/>
      <c r="F300" s="74"/>
      <c r="G300" s="67"/>
      <c r="H300" s="67"/>
      <c r="I300" s="55"/>
      <c r="J300" s="54"/>
      <c r="K300" s="84"/>
      <c r="L300" s="53"/>
    </row>
    <row r="301" spans="1:12" s="14" customFormat="1" hidden="1">
      <c r="A301" s="87"/>
      <c r="B301" s="87"/>
      <c r="C301" s="67"/>
      <c r="D301" s="67"/>
      <c r="E301" s="97" t="s">
        <v>124</v>
      </c>
      <c r="F301" s="74"/>
      <c r="G301" s="67"/>
      <c r="H301" s="67"/>
      <c r="I301" s="55"/>
      <c r="J301" s="54"/>
      <c r="K301" s="84"/>
      <c r="L301" s="53"/>
    </row>
    <row r="302" spans="1:12" s="14" customFormat="1" hidden="1">
      <c r="A302" s="87"/>
      <c r="B302" s="87"/>
      <c r="C302" s="67" t="s">
        <v>75</v>
      </c>
      <c r="D302" s="67" t="s">
        <v>131</v>
      </c>
      <c r="E302" s="63" t="s">
        <v>132</v>
      </c>
      <c r="F302" s="64" t="s">
        <v>133</v>
      </c>
      <c r="G302" s="67" t="s">
        <v>108</v>
      </c>
      <c r="H302" s="67">
        <v>4</v>
      </c>
      <c r="I302" s="55">
        <v>23.41</v>
      </c>
      <c r="J302" s="54"/>
      <c r="K302" s="84"/>
      <c r="L302" s="53"/>
    </row>
    <row r="303" spans="1:12" s="14" customFormat="1" hidden="1">
      <c r="A303" s="87"/>
      <c r="B303" s="87"/>
      <c r="C303" s="67" t="s">
        <v>75</v>
      </c>
      <c r="D303" s="67" t="s">
        <v>223</v>
      </c>
      <c r="E303" s="89" t="s">
        <v>224</v>
      </c>
      <c r="F303" s="68" t="s">
        <v>225</v>
      </c>
      <c r="G303" s="67" t="s">
        <v>108</v>
      </c>
      <c r="H303" s="86">
        <v>1</v>
      </c>
      <c r="I303" s="55">
        <v>70.95</v>
      </c>
      <c r="J303" s="54"/>
      <c r="K303" s="84"/>
      <c r="L303" s="53"/>
    </row>
    <row r="304" spans="1:12" s="14" customFormat="1" ht="20.65" customHeight="1">
      <c r="A304" s="79"/>
      <c r="B304" s="79">
        <v>24</v>
      </c>
      <c r="C304" s="5" t="s">
        <v>397</v>
      </c>
      <c r="D304" s="5"/>
      <c r="E304" s="5"/>
      <c r="F304" s="5"/>
      <c r="G304" s="5"/>
      <c r="H304" s="5"/>
      <c r="I304" s="5"/>
      <c r="J304" s="45"/>
      <c r="K304" s="57"/>
      <c r="L304" s="58"/>
    </row>
    <row r="305" spans="1:12" s="14" customFormat="1">
      <c r="A305" s="87"/>
      <c r="B305" s="53" t="s">
        <v>398</v>
      </c>
      <c r="C305" s="67" t="s">
        <v>23</v>
      </c>
      <c r="D305" s="53" t="s">
        <v>213</v>
      </c>
      <c r="E305" s="89" t="s">
        <v>399</v>
      </c>
      <c r="F305" s="68" t="s">
        <v>215</v>
      </c>
      <c r="G305" s="67" t="s">
        <v>27</v>
      </c>
      <c r="H305" s="69">
        <f>(2*1.3*0.22)+(2*1.3*0.08)+(0.7*0.19)</f>
        <v>0.91300000000000003</v>
      </c>
      <c r="I305" s="55">
        <v>118.6</v>
      </c>
      <c r="J305" s="54">
        <f>H305*I305</f>
        <v>108.2818</v>
      </c>
      <c r="K305" s="55">
        <f>I305*(1+$L$11)</f>
        <v>148.25</v>
      </c>
      <c r="L305" s="55">
        <f>H305*K305</f>
        <v>135.35225</v>
      </c>
    </row>
    <row r="306" spans="1:12" s="14" customFormat="1">
      <c r="A306" s="87"/>
      <c r="B306" s="53" t="s">
        <v>400</v>
      </c>
      <c r="C306" s="67" t="s">
        <v>23</v>
      </c>
      <c r="D306" s="53" t="s">
        <v>217</v>
      </c>
      <c r="E306" s="89" t="s">
        <v>218</v>
      </c>
      <c r="F306" s="68" t="s">
        <v>219</v>
      </c>
      <c r="G306" s="67" t="s">
        <v>27</v>
      </c>
      <c r="H306" s="69">
        <f>H305</f>
        <v>0.91300000000000003</v>
      </c>
      <c r="I306" s="55">
        <v>13.54</v>
      </c>
      <c r="J306" s="54">
        <f>H306*I306</f>
        <v>12.362019999999999</v>
      </c>
      <c r="K306" s="55">
        <f>I306*(1+$L$11)</f>
        <v>16.924999999999997</v>
      </c>
      <c r="L306" s="55">
        <f>H306*K306</f>
        <v>15.452524999999998</v>
      </c>
    </row>
    <row r="307" spans="1:12" s="14" customFormat="1" hidden="1">
      <c r="A307" s="87"/>
      <c r="B307" s="87"/>
      <c r="C307" s="67"/>
      <c r="D307" s="67"/>
      <c r="E307" s="89"/>
      <c r="F307" s="68"/>
      <c r="G307" s="67"/>
      <c r="H307" s="69"/>
      <c r="I307" s="55"/>
      <c r="J307" s="54"/>
      <c r="K307" s="84"/>
      <c r="L307" s="53"/>
    </row>
    <row r="308" spans="1:12" s="14" customFormat="1" hidden="1">
      <c r="A308" s="87"/>
      <c r="B308" s="87"/>
      <c r="C308" s="67"/>
      <c r="D308" s="67"/>
      <c r="E308" s="97" t="s">
        <v>124</v>
      </c>
      <c r="F308" s="68"/>
      <c r="G308" s="67"/>
      <c r="H308" s="69"/>
      <c r="I308" s="55"/>
      <c r="J308" s="54"/>
      <c r="K308" s="84"/>
      <c r="L308" s="53"/>
    </row>
    <row r="309" spans="1:12" s="14" customFormat="1" hidden="1">
      <c r="A309" s="87"/>
      <c r="B309" s="87"/>
      <c r="C309" s="67" t="s">
        <v>75</v>
      </c>
      <c r="D309" s="67" t="s">
        <v>272</v>
      </c>
      <c r="E309" s="89" t="s">
        <v>273</v>
      </c>
      <c r="F309" s="98" t="s">
        <v>274</v>
      </c>
      <c r="G309" s="67" t="s">
        <v>108</v>
      </c>
      <c r="H309" s="67">
        <v>1</v>
      </c>
      <c r="I309" s="55">
        <v>32.86</v>
      </c>
      <c r="J309" s="54"/>
      <c r="K309" s="84"/>
      <c r="L309" s="53"/>
    </row>
    <row r="310" spans="1:12" s="14" customFormat="1" hidden="1">
      <c r="A310" s="87"/>
      <c r="B310" s="87"/>
      <c r="C310" s="67" t="s">
        <v>75</v>
      </c>
      <c r="D310" s="67" t="s">
        <v>131</v>
      </c>
      <c r="E310" s="63" t="s">
        <v>132</v>
      </c>
      <c r="F310" s="64" t="s">
        <v>133</v>
      </c>
      <c r="G310" s="67" t="s">
        <v>108</v>
      </c>
      <c r="H310" s="67">
        <v>6</v>
      </c>
      <c r="I310" s="55">
        <v>23.41</v>
      </c>
      <c r="J310" s="54"/>
      <c r="K310" s="84"/>
      <c r="L310" s="53"/>
    </row>
    <row r="311" spans="1:12" s="14" customFormat="1" ht="20.65" customHeight="1">
      <c r="A311" s="79"/>
      <c r="B311" s="79">
        <v>25</v>
      </c>
      <c r="C311" s="5" t="s">
        <v>401</v>
      </c>
      <c r="D311" s="5"/>
      <c r="E311" s="5"/>
      <c r="F311" s="5"/>
      <c r="G311" s="5"/>
      <c r="H311" s="5"/>
      <c r="I311" s="5"/>
      <c r="J311" s="45"/>
      <c r="K311" s="57"/>
      <c r="L311" s="58"/>
    </row>
    <row r="312" spans="1:12" s="14" customFormat="1" ht="25.5">
      <c r="A312" s="87"/>
      <c r="B312" s="53" t="s">
        <v>402</v>
      </c>
      <c r="C312" s="53" t="s">
        <v>23</v>
      </c>
      <c r="D312" s="53" t="s">
        <v>403</v>
      </c>
      <c r="E312" s="101" t="s">
        <v>404</v>
      </c>
      <c r="F312" s="103" t="s">
        <v>405</v>
      </c>
      <c r="G312" s="53" t="s">
        <v>108</v>
      </c>
      <c r="H312" s="53">
        <v>1</v>
      </c>
      <c r="I312" s="54">
        <v>88.62</v>
      </c>
      <c r="J312" s="54">
        <f t="shared" ref="J312:J324" si="23">H312*I312</f>
        <v>88.62</v>
      </c>
      <c r="K312" s="55">
        <f t="shared" ref="K312:K324" si="24">I312*(1+$L$11)</f>
        <v>110.77500000000001</v>
      </c>
      <c r="L312" s="55">
        <f t="shared" ref="L312:L324" si="25">H312*K312</f>
        <v>110.77500000000001</v>
      </c>
    </row>
    <row r="313" spans="1:12" s="14" customFormat="1">
      <c r="A313" s="87"/>
      <c r="B313" s="53" t="s">
        <v>406</v>
      </c>
      <c r="C313" s="53" t="s">
        <v>23</v>
      </c>
      <c r="D313" s="53" t="s">
        <v>407</v>
      </c>
      <c r="E313" s="101" t="s">
        <v>408</v>
      </c>
      <c r="F313" s="103" t="s">
        <v>409</v>
      </c>
      <c r="G313" s="53" t="s">
        <v>108</v>
      </c>
      <c r="H313" s="53">
        <v>2</v>
      </c>
      <c r="I313" s="54">
        <v>15.4</v>
      </c>
      <c r="J313" s="54">
        <f t="shared" si="23"/>
        <v>30.8</v>
      </c>
      <c r="K313" s="55">
        <f t="shared" si="24"/>
        <v>19.25</v>
      </c>
      <c r="L313" s="55">
        <f t="shared" si="25"/>
        <v>38.5</v>
      </c>
    </row>
    <row r="314" spans="1:12" s="14" customFormat="1" ht="25.5">
      <c r="A314" s="87"/>
      <c r="B314" s="53" t="s">
        <v>410</v>
      </c>
      <c r="C314" s="53" t="s">
        <v>23</v>
      </c>
      <c r="D314" s="53" t="s">
        <v>411</v>
      </c>
      <c r="E314" s="101" t="s">
        <v>412</v>
      </c>
      <c r="F314" s="103" t="s">
        <v>413</v>
      </c>
      <c r="G314" s="53" t="s">
        <v>108</v>
      </c>
      <c r="H314" s="53">
        <v>3</v>
      </c>
      <c r="I314" s="54">
        <v>8.77</v>
      </c>
      <c r="J314" s="54">
        <f t="shared" si="23"/>
        <v>26.31</v>
      </c>
      <c r="K314" s="55">
        <f t="shared" si="24"/>
        <v>10.962499999999999</v>
      </c>
      <c r="L314" s="55">
        <f t="shared" si="25"/>
        <v>32.887499999999996</v>
      </c>
    </row>
    <row r="315" spans="1:12" s="14" customFormat="1" ht="25.5">
      <c r="A315" s="87"/>
      <c r="B315" s="53" t="s">
        <v>414</v>
      </c>
      <c r="C315" s="53" t="s">
        <v>23</v>
      </c>
      <c r="D315" s="53" t="s">
        <v>415</v>
      </c>
      <c r="E315" s="101" t="s">
        <v>416</v>
      </c>
      <c r="F315" s="103" t="s">
        <v>417</v>
      </c>
      <c r="G315" s="53" t="s">
        <v>108</v>
      </c>
      <c r="H315" s="53">
        <v>7</v>
      </c>
      <c r="I315" s="54">
        <v>9.77</v>
      </c>
      <c r="J315" s="54">
        <f t="shared" si="23"/>
        <v>68.39</v>
      </c>
      <c r="K315" s="55">
        <f t="shared" si="24"/>
        <v>12.212499999999999</v>
      </c>
      <c r="L315" s="55">
        <f t="shared" si="25"/>
        <v>85.487499999999983</v>
      </c>
    </row>
    <row r="316" spans="1:12" s="14" customFormat="1" ht="25.5">
      <c r="A316" s="87"/>
      <c r="B316" s="53" t="s">
        <v>418</v>
      </c>
      <c r="C316" s="53" t="s">
        <v>4</v>
      </c>
      <c r="D316" s="53">
        <v>38093</v>
      </c>
      <c r="E316" s="98" t="s">
        <v>419</v>
      </c>
      <c r="F316" s="98" t="s">
        <v>420</v>
      </c>
      <c r="G316" s="53" t="s">
        <v>108</v>
      </c>
      <c r="H316" s="53">
        <v>1</v>
      </c>
      <c r="I316" s="54">
        <v>2.38</v>
      </c>
      <c r="J316" s="54">
        <f t="shared" si="23"/>
        <v>2.38</v>
      </c>
      <c r="K316" s="55">
        <f t="shared" si="24"/>
        <v>2.9749999999999996</v>
      </c>
      <c r="L316" s="55">
        <f t="shared" si="25"/>
        <v>2.9749999999999996</v>
      </c>
    </row>
    <row r="317" spans="1:12" s="14" customFormat="1" ht="25.5">
      <c r="A317" s="87"/>
      <c r="B317" s="53" t="s">
        <v>421</v>
      </c>
      <c r="C317" s="53" t="s">
        <v>4</v>
      </c>
      <c r="D317" s="53">
        <v>38094</v>
      </c>
      <c r="E317" s="98" t="s">
        <v>422</v>
      </c>
      <c r="F317" s="98" t="s">
        <v>423</v>
      </c>
      <c r="G317" s="53" t="s">
        <v>108</v>
      </c>
      <c r="H317" s="53">
        <v>15</v>
      </c>
      <c r="I317" s="54">
        <v>2.91</v>
      </c>
      <c r="J317" s="54">
        <f t="shared" si="23"/>
        <v>43.650000000000006</v>
      </c>
      <c r="K317" s="55">
        <f t="shared" si="24"/>
        <v>3.6375000000000002</v>
      </c>
      <c r="L317" s="55">
        <f t="shared" si="25"/>
        <v>54.5625</v>
      </c>
    </row>
    <row r="318" spans="1:12" s="14" customFormat="1" ht="25.5">
      <c r="A318" s="87"/>
      <c r="B318" s="53" t="s">
        <v>424</v>
      </c>
      <c r="C318" s="53" t="s">
        <v>4</v>
      </c>
      <c r="D318" s="53">
        <v>38097</v>
      </c>
      <c r="E318" s="98" t="s">
        <v>425</v>
      </c>
      <c r="F318" s="98" t="s">
        <v>426</v>
      </c>
      <c r="G318" s="53" t="s">
        <v>108</v>
      </c>
      <c r="H318" s="53">
        <v>1</v>
      </c>
      <c r="I318" s="54">
        <v>5.91</v>
      </c>
      <c r="J318" s="54">
        <f t="shared" si="23"/>
        <v>5.91</v>
      </c>
      <c r="K318" s="55">
        <f t="shared" si="24"/>
        <v>7.3875000000000002</v>
      </c>
      <c r="L318" s="55">
        <f t="shared" si="25"/>
        <v>7.3875000000000002</v>
      </c>
    </row>
    <row r="319" spans="1:12" s="14" customFormat="1">
      <c r="A319" s="87"/>
      <c r="B319" s="53" t="s">
        <v>427</v>
      </c>
      <c r="C319" s="53" t="s">
        <v>4</v>
      </c>
      <c r="D319" s="53">
        <v>38101</v>
      </c>
      <c r="E319" s="98" t="s">
        <v>428</v>
      </c>
      <c r="F319" s="98" t="s">
        <v>429</v>
      </c>
      <c r="G319" s="53" t="s">
        <v>108</v>
      </c>
      <c r="H319" s="53">
        <v>19</v>
      </c>
      <c r="I319" s="54">
        <v>7.82</v>
      </c>
      <c r="J319" s="54">
        <f t="shared" si="23"/>
        <v>148.58000000000001</v>
      </c>
      <c r="K319" s="55">
        <f t="shared" si="24"/>
        <v>9.7750000000000004</v>
      </c>
      <c r="L319" s="55">
        <f t="shared" si="25"/>
        <v>185.72499999999999</v>
      </c>
    </row>
    <row r="320" spans="1:12" s="14" customFormat="1" ht="14.25">
      <c r="A320" s="87"/>
      <c r="B320" s="53" t="s">
        <v>430</v>
      </c>
      <c r="C320" s="53" t="s">
        <v>4</v>
      </c>
      <c r="D320" s="53">
        <v>38102</v>
      </c>
      <c r="E320" s="98" t="s">
        <v>431</v>
      </c>
      <c r="F320" s="98" t="s">
        <v>432</v>
      </c>
      <c r="G320" s="53" t="s">
        <v>108</v>
      </c>
      <c r="H320" s="53">
        <v>5</v>
      </c>
      <c r="I320" s="54">
        <v>10</v>
      </c>
      <c r="J320" s="54">
        <f t="shared" si="23"/>
        <v>50</v>
      </c>
      <c r="K320" s="55">
        <f t="shared" si="24"/>
        <v>12.5</v>
      </c>
      <c r="L320" s="55">
        <f t="shared" si="25"/>
        <v>62.5</v>
      </c>
    </row>
    <row r="321" spans="1:12" s="14" customFormat="1">
      <c r="A321" s="87"/>
      <c r="B321" s="53" t="s">
        <v>433</v>
      </c>
      <c r="C321" s="53" t="s">
        <v>4</v>
      </c>
      <c r="D321" s="53">
        <v>38114</v>
      </c>
      <c r="E321" s="98" t="s">
        <v>434</v>
      </c>
      <c r="F321" s="98" t="s">
        <v>435</v>
      </c>
      <c r="G321" s="53" t="s">
        <v>108</v>
      </c>
      <c r="H321" s="53">
        <v>15</v>
      </c>
      <c r="I321" s="54">
        <v>17.8</v>
      </c>
      <c r="J321" s="54">
        <f t="shared" si="23"/>
        <v>267</v>
      </c>
      <c r="K321" s="55">
        <f t="shared" si="24"/>
        <v>22.25</v>
      </c>
      <c r="L321" s="55">
        <f t="shared" si="25"/>
        <v>333.75</v>
      </c>
    </row>
    <row r="322" spans="1:12" s="14" customFormat="1">
      <c r="A322" s="87"/>
      <c r="B322" s="53" t="s">
        <v>436</v>
      </c>
      <c r="C322" s="53" t="s">
        <v>4</v>
      </c>
      <c r="D322" s="53">
        <v>38110</v>
      </c>
      <c r="E322" s="98" t="s">
        <v>437</v>
      </c>
      <c r="F322" s="98" t="s">
        <v>438</v>
      </c>
      <c r="G322" s="53" t="s">
        <v>108</v>
      </c>
      <c r="H322" s="53">
        <v>2</v>
      </c>
      <c r="I322" s="54">
        <v>29.42</v>
      </c>
      <c r="J322" s="54">
        <f t="shared" si="23"/>
        <v>58.84</v>
      </c>
      <c r="K322" s="55">
        <f t="shared" si="24"/>
        <v>36.775000000000006</v>
      </c>
      <c r="L322" s="55">
        <f t="shared" si="25"/>
        <v>73.550000000000011</v>
      </c>
    </row>
    <row r="323" spans="1:12" s="14" customFormat="1">
      <c r="A323" s="87"/>
      <c r="B323" s="53" t="s">
        <v>439</v>
      </c>
      <c r="C323" s="53" t="s">
        <v>23</v>
      </c>
      <c r="D323" s="53" t="s">
        <v>440</v>
      </c>
      <c r="E323" s="98" t="s">
        <v>441</v>
      </c>
      <c r="F323" s="103" t="s">
        <v>442</v>
      </c>
      <c r="G323" s="53" t="s">
        <v>108</v>
      </c>
      <c r="H323" s="53">
        <v>250</v>
      </c>
      <c r="I323" s="54">
        <v>15</v>
      </c>
      <c r="J323" s="54">
        <f t="shared" si="23"/>
        <v>3750</v>
      </c>
      <c r="K323" s="55">
        <f t="shared" si="24"/>
        <v>18.75</v>
      </c>
      <c r="L323" s="55">
        <f t="shared" si="25"/>
        <v>4687.5</v>
      </c>
    </row>
    <row r="324" spans="1:12" s="14" customFormat="1">
      <c r="A324" s="87"/>
      <c r="B324" s="53" t="s">
        <v>443</v>
      </c>
      <c r="C324" s="53" t="s">
        <v>23</v>
      </c>
      <c r="D324" s="53" t="s">
        <v>444</v>
      </c>
      <c r="E324" s="98" t="s">
        <v>445</v>
      </c>
      <c r="F324" s="103" t="s">
        <v>446</v>
      </c>
      <c r="G324" s="53" t="s">
        <v>33</v>
      </c>
      <c r="H324" s="53">
        <v>6</v>
      </c>
      <c r="I324" s="54">
        <v>43.65</v>
      </c>
      <c r="J324" s="54">
        <f t="shared" si="23"/>
        <v>261.89999999999998</v>
      </c>
      <c r="K324" s="55">
        <f t="shared" si="24"/>
        <v>54.5625</v>
      </c>
      <c r="L324" s="55">
        <f t="shared" si="25"/>
        <v>327.375</v>
      </c>
    </row>
    <row r="325" spans="1:12" s="14" customFormat="1" ht="20.65" customHeight="1">
      <c r="A325" s="87"/>
      <c r="B325" s="79">
        <v>26</v>
      </c>
      <c r="C325" s="5" t="s">
        <v>447</v>
      </c>
      <c r="D325" s="5"/>
      <c r="E325" s="5"/>
      <c r="F325" s="5"/>
      <c r="G325" s="5"/>
      <c r="H325" s="5"/>
      <c r="I325" s="5"/>
      <c r="J325" s="57"/>
      <c r="K325" s="57"/>
      <c r="L325" s="58"/>
    </row>
    <row r="326" spans="1:12" s="14" customFormat="1">
      <c r="A326" s="87"/>
      <c r="B326" s="53" t="s">
        <v>448</v>
      </c>
      <c r="C326" s="53" t="s">
        <v>23</v>
      </c>
      <c r="D326" s="53" t="s">
        <v>449</v>
      </c>
      <c r="E326" s="93"/>
      <c r="F326" s="103" t="s">
        <v>450</v>
      </c>
      <c r="G326" s="53" t="s">
        <v>27</v>
      </c>
      <c r="H326" s="81">
        <f>((0.92*2.1*2)+(0.82*2.1*4))*3</f>
        <v>32.256</v>
      </c>
      <c r="I326" s="54">
        <v>45.08</v>
      </c>
      <c r="J326" s="54">
        <f>H326*I326</f>
        <v>1454.1004800000001</v>
      </c>
      <c r="K326" s="55">
        <f>I326*(1+$L$11)</f>
        <v>56.349999999999994</v>
      </c>
      <c r="L326" s="55">
        <f>H326*K326</f>
        <v>1817.6255999999998</v>
      </c>
    </row>
    <row r="327" spans="1:12" s="14" customFormat="1" ht="25.5">
      <c r="A327" s="87"/>
      <c r="B327" s="53" t="s">
        <v>451</v>
      </c>
      <c r="C327" s="67" t="s">
        <v>23</v>
      </c>
      <c r="D327" s="67" t="s">
        <v>452</v>
      </c>
      <c r="E327" s="68" t="s">
        <v>453</v>
      </c>
      <c r="F327" s="90" t="s">
        <v>454</v>
      </c>
      <c r="G327" s="67" t="s">
        <v>27</v>
      </c>
      <c r="H327" s="69">
        <f>5.44+13.76+5.35+2.37+1.48</f>
        <v>28.4</v>
      </c>
      <c r="I327" s="55">
        <v>197.61</v>
      </c>
      <c r="J327" s="55">
        <f>H327*I327</f>
        <v>5612.1239999999998</v>
      </c>
      <c r="K327" s="55">
        <f>I327*(1+$L$11)</f>
        <v>247.01250000000002</v>
      </c>
      <c r="L327" s="55">
        <f>H327*K327</f>
        <v>7015.1549999999997</v>
      </c>
    </row>
    <row r="328" spans="1:12">
      <c r="A328" s="104"/>
      <c r="B328" s="105"/>
      <c r="C328" s="70"/>
      <c r="D328" s="70"/>
      <c r="E328" s="91"/>
      <c r="F328"/>
      <c r="G328" s="70"/>
      <c r="H328" s="70"/>
      <c r="I328" s="186" t="s">
        <v>455</v>
      </c>
      <c r="J328" s="186">
        <f>SUM(J14:J327)</f>
        <v>85270.170470720375</v>
      </c>
      <c r="K328" s="185" t="s">
        <v>456</v>
      </c>
      <c r="L328" s="186">
        <f>SUM(L14:L327)</f>
        <v>106370.13174340047</v>
      </c>
    </row>
    <row r="329" spans="1:12">
      <c r="A329" s="104"/>
      <c r="B329" s="105"/>
      <c r="C329" s="70"/>
      <c r="D329" s="70"/>
      <c r="E329" s="91"/>
      <c r="F329"/>
      <c r="G329" s="70"/>
      <c r="H329" s="70"/>
      <c r="I329" s="186"/>
      <c r="J329" s="186"/>
      <c r="K329" s="185"/>
      <c r="L329" s="186"/>
    </row>
    <row r="330" spans="1:12">
      <c r="A330" s="104"/>
      <c r="B330" s="105"/>
      <c r="C330" s="70"/>
      <c r="D330" s="70"/>
      <c r="E330" s="91"/>
      <c r="F330"/>
      <c r="G330" s="70"/>
      <c r="H330" s="70"/>
      <c r="I330" s="106"/>
      <c r="J330"/>
    </row>
    <row r="331" spans="1:12">
      <c r="A331" s="104"/>
      <c r="B331" s="105"/>
      <c r="C331" s="70"/>
      <c r="D331" s="70"/>
      <c r="E331" s="91"/>
      <c r="F331"/>
      <c r="G331" s="70"/>
      <c r="H331" s="70"/>
      <c r="I331" s="106"/>
      <c r="J331"/>
    </row>
  </sheetData>
  <mergeCells count="49">
    <mergeCell ref="C325:I325"/>
    <mergeCell ref="I328:I329"/>
    <mergeCell ref="J328:J329"/>
    <mergeCell ref="K328:K329"/>
    <mergeCell ref="L328:L329"/>
    <mergeCell ref="C287:J287"/>
    <mergeCell ref="C290:I290"/>
    <mergeCell ref="C297:I297"/>
    <mergeCell ref="C304:I304"/>
    <mergeCell ref="C311:I311"/>
    <mergeCell ref="C248:I248"/>
    <mergeCell ref="C263:I263"/>
    <mergeCell ref="C270:J270"/>
    <mergeCell ref="C273:J273"/>
    <mergeCell ref="C279:I279"/>
    <mergeCell ref="C191:I191"/>
    <mergeCell ref="C194:I194"/>
    <mergeCell ref="C206:I206"/>
    <mergeCell ref="C227:I227"/>
    <mergeCell ref="C236:I236"/>
    <mergeCell ref="C135:I135"/>
    <mergeCell ref="C143:I143"/>
    <mergeCell ref="C150:I150"/>
    <mergeCell ref="C161:I161"/>
    <mergeCell ref="C172:I172"/>
    <mergeCell ref="C86:I86"/>
    <mergeCell ref="C94:I94"/>
    <mergeCell ref="C106:I106"/>
    <mergeCell ref="C117:J117"/>
    <mergeCell ref="C122:I122"/>
    <mergeCell ref="C14:I14"/>
    <mergeCell ref="C16:I16"/>
    <mergeCell ref="C28:I28"/>
    <mergeCell ref="C53:I53"/>
    <mergeCell ref="C74:I74"/>
    <mergeCell ref="B4:L4"/>
    <mergeCell ref="K6:L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9"/>
  <sheetViews>
    <sheetView topLeftCell="A4" zoomScale="95" zoomScaleNormal="95" workbookViewId="0">
      <selection activeCell="F26" sqref="F26"/>
    </sheetView>
  </sheetViews>
  <sheetFormatPr defaultColWidth="11.5703125" defaultRowHeight="12.75"/>
  <cols>
    <col min="2" max="2" width="67" customWidth="1"/>
    <col min="3" max="3" width="17.42578125" customWidth="1"/>
    <col min="4" max="5" width="16.140625" customWidth="1"/>
  </cols>
  <sheetData>
    <row r="2" spans="1:5" ht="73.7" customHeight="1"/>
    <row r="3" spans="1:5" ht="16.5">
      <c r="A3" s="4" t="s">
        <v>457</v>
      </c>
      <c r="B3" s="4"/>
      <c r="C3" s="4"/>
      <c r="D3" s="4"/>
      <c r="E3" s="4"/>
    </row>
    <row r="4" spans="1:5" ht="16.5">
      <c r="A4" s="107"/>
      <c r="B4" s="107"/>
      <c r="C4" s="107"/>
      <c r="D4" s="107"/>
      <c r="E4" s="107"/>
    </row>
    <row r="5" spans="1:5" ht="15.75">
      <c r="A5" s="3" t="s">
        <v>458</v>
      </c>
      <c r="B5" s="3"/>
      <c r="C5" s="3"/>
      <c r="D5" s="3"/>
      <c r="E5" s="3"/>
    </row>
    <row r="6" spans="1:5" ht="15" customHeight="1">
      <c r="A6" s="2" t="s">
        <v>459</v>
      </c>
      <c r="B6" s="2"/>
      <c r="C6" s="2"/>
      <c r="D6" s="2"/>
      <c r="E6" s="2"/>
    </row>
    <row r="7" spans="1:5" ht="15" customHeight="1">
      <c r="A7" s="2" t="s">
        <v>460</v>
      </c>
      <c r="B7" s="2"/>
      <c r="C7" s="2"/>
      <c r="D7" s="108"/>
      <c r="E7" s="108"/>
    </row>
    <row r="8" spans="1:5" ht="16.5">
      <c r="A8" s="109"/>
      <c r="B8" s="109"/>
      <c r="C8" s="109"/>
      <c r="D8" s="109"/>
      <c r="E8" s="109"/>
    </row>
    <row r="9" spans="1:5" ht="16.5">
      <c r="A9" s="110"/>
      <c r="B9" s="110"/>
      <c r="C9" s="110"/>
      <c r="D9" s="1" t="s">
        <v>461</v>
      </c>
      <c r="E9" s="1"/>
    </row>
    <row r="10" spans="1:5" ht="16.5">
      <c r="A10" s="111" t="s">
        <v>10</v>
      </c>
      <c r="B10" s="112" t="s">
        <v>462</v>
      </c>
      <c r="C10" s="112" t="s">
        <v>463</v>
      </c>
      <c r="D10" s="113" t="s">
        <v>464</v>
      </c>
      <c r="E10" s="113" t="s">
        <v>465</v>
      </c>
    </row>
    <row r="11" spans="1:5" ht="16.5">
      <c r="A11" s="114">
        <v>1</v>
      </c>
      <c r="B11" s="115">
        <f>'[1]ORÇAMENTO '!D14</f>
        <v>0</v>
      </c>
      <c r="C11" s="116">
        <f>SUM('Orçamento por ambiente'!L15)</f>
        <v>3344.9760000000001</v>
      </c>
      <c r="D11" s="116">
        <f>C11</f>
        <v>3344.9760000000001</v>
      </c>
      <c r="E11" s="117"/>
    </row>
    <row r="12" spans="1:5" ht="16.5">
      <c r="A12" s="118"/>
      <c r="B12" s="119" t="s">
        <v>466</v>
      </c>
      <c r="C12" s="120">
        <f>C11/C24</f>
        <v>3.1446571938720309E-2</v>
      </c>
      <c r="D12" s="120">
        <f>D11/C11</f>
        <v>1</v>
      </c>
      <c r="E12" s="120"/>
    </row>
    <row r="13" spans="1:5" ht="16.5">
      <c r="A13" s="114">
        <v>2</v>
      </c>
      <c r="B13" s="115" t="s">
        <v>467</v>
      </c>
      <c r="C13" s="117">
        <f>SUM('Orçamento por ambiente'!L17:L27)</f>
        <v>25467.515599650542</v>
      </c>
      <c r="D13" s="121">
        <f>C13/2</f>
        <v>12733.757799825271</v>
      </c>
      <c r="E13" s="121">
        <f>C13/2</f>
        <v>12733.757799825271</v>
      </c>
    </row>
    <row r="14" spans="1:5" ht="16.5">
      <c r="A14" s="118"/>
      <c r="B14" s="119" t="s">
        <v>466</v>
      </c>
      <c r="C14" s="120">
        <f>C13/C24</f>
        <v>0.23942355981175725</v>
      </c>
      <c r="D14" s="120">
        <f>D13/C13</f>
        <v>0.5</v>
      </c>
      <c r="E14" s="120">
        <f>E13/C13</f>
        <v>0.5</v>
      </c>
    </row>
    <row r="15" spans="1:5" ht="16.5">
      <c r="A15" s="118">
        <v>3</v>
      </c>
      <c r="B15" s="115" t="s">
        <v>468</v>
      </c>
      <c r="C15" s="121">
        <f>SUM('Orçamento por ambiente'!L29:L78)</f>
        <v>34694.056328750004</v>
      </c>
      <c r="D15" s="121">
        <f>C15/2</f>
        <v>17347.028164375002</v>
      </c>
      <c r="E15" s="121">
        <f>C15/2</f>
        <v>17347.028164375002</v>
      </c>
    </row>
    <row r="16" spans="1:5" ht="16.5">
      <c r="A16" s="118"/>
      <c r="B16" s="119"/>
      <c r="C16" s="120">
        <f>C15/C24</f>
        <v>0.32616351752241324</v>
      </c>
      <c r="D16" s="120">
        <f>D15/C15</f>
        <v>0.5</v>
      </c>
      <c r="E16" s="120">
        <f>E15/C15</f>
        <v>0.5</v>
      </c>
    </row>
    <row r="17" spans="1:5" ht="16.5">
      <c r="A17" s="114">
        <v>4</v>
      </c>
      <c r="B17" s="115" t="s">
        <v>469</v>
      </c>
      <c r="C17" s="116">
        <f>SUM('Orçamento por ambiente'!L87:L306)</f>
        <v>28027.828214999998</v>
      </c>
      <c r="D17" s="121">
        <f>C17/2</f>
        <v>14013.914107499999</v>
      </c>
      <c r="E17" s="121">
        <f>C17/2</f>
        <v>14013.914107499999</v>
      </c>
    </row>
    <row r="18" spans="1:5" ht="16.5">
      <c r="A18" s="118"/>
      <c r="B18" s="119" t="s">
        <v>466</v>
      </c>
      <c r="C18" s="120">
        <f>C17/C24</f>
        <v>0.2634934051093617</v>
      </c>
      <c r="D18" s="120">
        <f>D17/C17</f>
        <v>0.5</v>
      </c>
      <c r="E18" s="120">
        <f>E17/C17</f>
        <v>0.5</v>
      </c>
    </row>
    <row r="19" spans="1:5" ht="16.5">
      <c r="A19" s="114">
        <v>5</v>
      </c>
      <c r="B19" s="115">
        <f>'[1]ORÇAMENTO '!D112</f>
        <v>0</v>
      </c>
      <c r="C19" s="122">
        <f>SUM('Orçamento por ambiente'!L312:L324)</f>
        <v>6002.9750000000004</v>
      </c>
      <c r="D19" s="121">
        <f>C19</f>
        <v>6002.9750000000004</v>
      </c>
      <c r="E19" s="121"/>
    </row>
    <row r="20" spans="1:5" ht="16.5">
      <c r="A20" s="118"/>
      <c r="B20" s="119" t="s">
        <v>466</v>
      </c>
      <c r="C20" s="120">
        <f>C19/C24</f>
        <v>5.6434780155026398E-2</v>
      </c>
      <c r="D20" s="120">
        <f>D19/C19</f>
        <v>1</v>
      </c>
      <c r="E20" s="120"/>
    </row>
    <row r="21" spans="1:5" ht="16.5">
      <c r="A21" s="118">
        <v>6</v>
      </c>
      <c r="B21" s="115" t="s">
        <v>447</v>
      </c>
      <c r="C21" s="121">
        <f>SUM('Orçamento por ambiente'!L326:L327)</f>
        <v>8832.7806</v>
      </c>
      <c r="D21" s="121">
        <f>C21</f>
        <v>8832.7806</v>
      </c>
      <c r="E21" s="120"/>
    </row>
    <row r="22" spans="1:5" ht="16.5">
      <c r="A22" s="118"/>
      <c r="B22" s="119" t="s">
        <v>466</v>
      </c>
      <c r="C22" s="120">
        <f>C21/C24</f>
        <v>8.3038165462721747E-2</v>
      </c>
      <c r="D22" s="120">
        <f>D21/C21</f>
        <v>1</v>
      </c>
      <c r="E22" s="120"/>
    </row>
    <row r="23" spans="1:5" ht="16.5">
      <c r="A23" s="123" t="s">
        <v>470</v>
      </c>
      <c r="B23" s="110"/>
      <c r="C23" s="110"/>
      <c r="D23" s="124"/>
      <c r="E23" s="124"/>
    </row>
    <row r="24" spans="1:5" ht="16.5">
      <c r="A24" s="110"/>
      <c r="B24" s="125" t="s">
        <v>471</v>
      </c>
      <c r="C24" s="126">
        <f>'Orçamento por ambiente'!L328</f>
        <v>106370.13174340047</v>
      </c>
      <c r="D24" s="127"/>
      <c r="E24" s="127"/>
    </row>
    <row r="25" spans="1:5" ht="16.5">
      <c r="A25" s="124"/>
      <c r="B25" s="128"/>
      <c r="C25" s="129"/>
      <c r="D25" s="127"/>
      <c r="E25" s="127"/>
    </row>
    <row r="26" spans="1:5" ht="16.5">
      <c r="A26" s="110"/>
      <c r="B26" s="171" t="s">
        <v>472</v>
      </c>
      <c r="C26" s="171"/>
      <c r="D26" s="130">
        <f>SUM(D11,D13,D15,D17,D19,D21)</f>
        <v>62275.431671700273</v>
      </c>
      <c r="E26" s="130">
        <f>SUM(E11,E13,E15,E17,E19)</f>
        <v>44094.700071700274</v>
      </c>
    </row>
    <row r="27" spans="1:5" ht="16.5">
      <c r="A27" s="110"/>
      <c r="B27" s="172" t="s">
        <v>473</v>
      </c>
      <c r="C27" s="172"/>
      <c r="D27" s="131">
        <f>D26/$C$24</f>
        <v>0.58545975877823453</v>
      </c>
      <c r="E27" s="131">
        <f>E26/$C$24</f>
        <v>0.41454024122176614</v>
      </c>
    </row>
    <row r="28" spans="1:5" ht="16.5">
      <c r="A28" s="110"/>
      <c r="B28" s="172" t="s">
        <v>474</v>
      </c>
      <c r="C28" s="172"/>
      <c r="D28" s="132">
        <f>SUM(D26)</f>
        <v>62275.431671700273</v>
      </c>
      <c r="E28" s="132">
        <f>SUM(D28,E26)</f>
        <v>106370.13174340055</v>
      </c>
    </row>
    <row r="29" spans="1:5" ht="16.5">
      <c r="A29" s="110"/>
      <c r="B29" s="173" t="s">
        <v>475</v>
      </c>
      <c r="C29" s="173"/>
      <c r="D29" s="120">
        <f>SUM(D27)</f>
        <v>0.58545975877823453</v>
      </c>
      <c r="E29" s="120">
        <f>SUM(D29,E27)</f>
        <v>1.0000000000000007</v>
      </c>
    </row>
  </sheetData>
  <mergeCells count="9">
    <mergeCell ref="B26:C26"/>
    <mergeCell ref="B27:C27"/>
    <mergeCell ref="B28:C28"/>
    <mergeCell ref="B29:C29"/>
    <mergeCell ref="A3:E3"/>
    <mergeCell ref="A5:E5"/>
    <mergeCell ref="A6:E6"/>
    <mergeCell ref="A7:C7"/>
    <mergeCell ref="D9:E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topLeftCell="A4" zoomScale="95" zoomScaleNormal="95" workbookViewId="0">
      <selection activeCell="B20" sqref="B20"/>
    </sheetView>
  </sheetViews>
  <sheetFormatPr defaultColWidth="11.5703125" defaultRowHeight="12.75"/>
  <cols>
    <col min="1" max="1" width="24.28515625" customWidth="1"/>
    <col min="2" max="2" width="76.140625" customWidth="1"/>
    <col min="3" max="3" width="8.7109375" customWidth="1"/>
    <col min="4" max="4" width="17.42578125" customWidth="1"/>
    <col min="5" max="5" width="21.85546875" customWidth="1"/>
    <col min="6" max="6" width="18.28515625" customWidth="1"/>
    <col min="7" max="11" width="8.7109375" customWidth="1"/>
  </cols>
  <sheetData>
    <row r="1" spans="1:11" ht="98.25" customHeight="1">
      <c r="A1" s="133"/>
      <c r="B1" s="133"/>
      <c r="C1" s="133"/>
      <c r="D1" s="133"/>
      <c r="E1" s="133"/>
      <c r="F1" s="133"/>
    </row>
    <row r="2" spans="1:11" ht="34.5" customHeight="1">
      <c r="A2" s="174" t="s">
        <v>476</v>
      </c>
      <c r="B2" s="174"/>
      <c r="C2" s="174"/>
      <c r="D2" s="174"/>
      <c r="E2" s="174"/>
      <c r="F2" s="174"/>
      <c r="G2" s="134"/>
    </row>
    <row r="3" spans="1:11" ht="19.5" customHeight="1">
      <c r="A3" s="135"/>
      <c r="B3" s="135"/>
      <c r="C3" s="135"/>
      <c r="D3" s="135"/>
      <c r="E3" s="135"/>
      <c r="F3" s="135"/>
      <c r="G3" s="134"/>
    </row>
    <row r="4" spans="1:11" ht="19.5" customHeight="1">
      <c r="A4" s="135"/>
      <c r="B4" s="135"/>
      <c r="C4" s="135"/>
      <c r="D4" s="175" t="s">
        <v>477</v>
      </c>
      <c r="E4" s="175"/>
      <c r="F4" s="136" t="s">
        <v>23</v>
      </c>
      <c r="G4" s="134"/>
    </row>
    <row r="5" spans="1:11" ht="19.5" customHeight="1">
      <c r="A5" s="135"/>
      <c r="B5" s="135"/>
      <c r="C5" s="137"/>
      <c r="D5" s="175" t="s">
        <v>478</v>
      </c>
      <c r="E5" s="175"/>
      <c r="F5" s="138">
        <v>45323</v>
      </c>
      <c r="G5" s="137"/>
      <c r="H5" s="139"/>
      <c r="I5" s="139"/>
      <c r="J5" s="139"/>
      <c r="K5" s="139"/>
    </row>
    <row r="6" spans="1:11" ht="19.5" customHeight="1">
      <c r="A6" s="135"/>
      <c r="B6" s="135"/>
      <c r="C6" s="137"/>
      <c r="D6" s="175" t="s">
        <v>479</v>
      </c>
      <c r="E6" s="175"/>
      <c r="F6" s="140">
        <v>0</v>
      </c>
      <c r="G6" s="137"/>
      <c r="H6" s="139"/>
      <c r="I6" s="139"/>
      <c r="J6" s="139"/>
      <c r="K6" s="139"/>
    </row>
    <row r="7" spans="1:11" ht="19.5" customHeight="1">
      <c r="A7" s="135"/>
      <c r="B7" s="135"/>
      <c r="C7" s="137"/>
      <c r="D7" s="175" t="s">
        <v>480</v>
      </c>
      <c r="E7" s="175"/>
      <c r="F7" s="140">
        <v>0.9778</v>
      </c>
      <c r="G7" s="137"/>
      <c r="H7" s="139"/>
      <c r="I7" s="139"/>
      <c r="J7" s="139"/>
      <c r="K7" s="139"/>
    </row>
    <row r="8" spans="1:11" ht="19.5" customHeight="1">
      <c r="A8" s="135"/>
      <c r="B8" s="135"/>
      <c r="C8" s="135"/>
      <c r="D8" s="135"/>
      <c r="E8" s="135"/>
      <c r="F8" s="135"/>
      <c r="G8" s="137"/>
      <c r="H8" s="139"/>
      <c r="I8" s="139"/>
      <c r="J8" s="139"/>
      <c r="K8" s="139"/>
    </row>
    <row r="9" spans="1:11" ht="19.5" customHeight="1">
      <c r="A9" s="141" t="s">
        <v>481</v>
      </c>
      <c r="B9" s="141" t="s">
        <v>482</v>
      </c>
      <c r="C9" s="141" t="s">
        <v>483</v>
      </c>
      <c r="D9" s="141" t="s">
        <v>484</v>
      </c>
      <c r="E9" s="141" t="s">
        <v>485</v>
      </c>
      <c r="F9" s="141" t="s">
        <v>486</v>
      </c>
      <c r="G9" s="137"/>
      <c r="H9" s="139"/>
      <c r="I9" s="139"/>
      <c r="J9" s="139"/>
      <c r="K9" s="139"/>
    </row>
    <row r="10" spans="1:11" ht="34.5" customHeight="1">
      <c r="A10" s="142" t="s">
        <v>487</v>
      </c>
      <c r="B10" s="143" t="s">
        <v>32</v>
      </c>
      <c r="C10" s="142" t="s">
        <v>33</v>
      </c>
      <c r="D10" s="144">
        <f>D15*D20</f>
        <v>1139.8545454545454</v>
      </c>
      <c r="E10" s="144">
        <f>(D13*D18+D14*D19)*1.9778</f>
        <v>39.120884000000004</v>
      </c>
      <c r="F10" s="144">
        <f>D10+E10</f>
        <v>1178.9754294545453</v>
      </c>
      <c r="G10" s="137"/>
      <c r="H10" s="139"/>
      <c r="I10" s="139"/>
      <c r="J10" s="139"/>
      <c r="K10" s="139"/>
    </row>
    <row r="11" spans="1:11" ht="19.5" customHeight="1">
      <c r="A11" s="137"/>
      <c r="B11" s="137"/>
      <c r="C11" s="137"/>
      <c r="D11" s="137"/>
      <c r="E11" s="137"/>
      <c r="F11" s="137"/>
      <c r="G11" s="137"/>
      <c r="H11" s="139"/>
      <c r="I11" s="139"/>
      <c r="J11" s="139"/>
      <c r="K11" s="139"/>
    </row>
    <row r="12" spans="1:11" ht="19.5" customHeight="1">
      <c r="A12" s="141" t="s">
        <v>481</v>
      </c>
      <c r="B12" s="141" t="s">
        <v>488</v>
      </c>
      <c r="C12" s="141" t="s">
        <v>483</v>
      </c>
      <c r="D12" s="141" t="s">
        <v>484</v>
      </c>
      <c r="E12" s="137"/>
      <c r="F12" s="137"/>
      <c r="G12" s="137"/>
      <c r="H12" s="139"/>
      <c r="I12" s="139"/>
      <c r="J12" s="139"/>
      <c r="K12" s="139"/>
    </row>
    <row r="13" spans="1:11" ht="19.5" customHeight="1">
      <c r="A13" s="142" t="s">
        <v>489</v>
      </c>
      <c r="B13" s="145" t="s">
        <v>490</v>
      </c>
      <c r="C13" s="142" t="s">
        <v>491</v>
      </c>
      <c r="D13" s="146">
        <v>1</v>
      </c>
      <c r="E13" s="137"/>
      <c r="F13" s="137"/>
      <c r="G13" s="137"/>
      <c r="H13" s="139"/>
      <c r="I13" s="139"/>
      <c r="J13" s="139"/>
      <c r="K13" s="139"/>
    </row>
    <row r="14" spans="1:11" ht="19.5" customHeight="1">
      <c r="A14" s="142" t="s">
        <v>492</v>
      </c>
      <c r="B14" s="145" t="s">
        <v>493</v>
      </c>
      <c r="C14" s="142" t="s">
        <v>491</v>
      </c>
      <c r="D14" s="146">
        <v>1</v>
      </c>
      <c r="E14" s="137"/>
      <c r="F14" s="137"/>
      <c r="G14" s="137"/>
      <c r="H14" s="139"/>
      <c r="I14" s="139"/>
      <c r="J14" s="139"/>
      <c r="K14" s="139"/>
    </row>
    <row r="15" spans="1:11" ht="34.5" customHeight="1">
      <c r="A15" s="142" t="s">
        <v>494</v>
      </c>
      <c r="B15" s="143" t="s">
        <v>32</v>
      </c>
      <c r="C15" s="142" t="s">
        <v>33</v>
      </c>
      <c r="D15" s="146">
        <v>1</v>
      </c>
      <c r="E15" s="137"/>
      <c r="F15" s="137"/>
      <c r="G15" s="137"/>
      <c r="H15" s="139"/>
      <c r="I15" s="139"/>
      <c r="J15" s="139"/>
      <c r="K15" s="139"/>
    </row>
    <row r="16" spans="1:11" ht="19.5" customHeight="1">
      <c r="A16" s="137"/>
      <c r="B16" s="137"/>
      <c r="C16" s="137"/>
      <c r="D16" s="137"/>
      <c r="E16" s="137"/>
      <c r="F16" s="137"/>
      <c r="G16" s="137"/>
      <c r="H16" s="139"/>
      <c r="I16" s="139"/>
      <c r="J16" s="139"/>
      <c r="K16" s="139"/>
    </row>
    <row r="17" spans="1:11" ht="19.5" customHeight="1">
      <c r="A17" s="141" t="s">
        <v>481</v>
      </c>
      <c r="B17" s="141" t="s">
        <v>495</v>
      </c>
      <c r="C17" s="141" t="s">
        <v>483</v>
      </c>
      <c r="D17" s="141" t="s">
        <v>484</v>
      </c>
      <c r="E17" s="137"/>
      <c r="F17" s="137"/>
      <c r="G17" s="137"/>
      <c r="H17" s="139"/>
      <c r="I17" s="139"/>
      <c r="J17" s="139"/>
      <c r="K17" s="139"/>
    </row>
    <row r="18" spans="1:11" ht="19.5" customHeight="1">
      <c r="A18" s="142" t="s">
        <v>489</v>
      </c>
      <c r="B18" s="145" t="s">
        <v>490</v>
      </c>
      <c r="C18" s="142" t="s">
        <v>491</v>
      </c>
      <c r="D18" s="144">
        <v>10.86</v>
      </c>
      <c r="E18" s="137"/>
      <c r="F18" s="137"/>
      <c r="G18" s="134"/>
    </row>
    <row r="19" spans="1:11" ht="19.5" customHeight="1">
      <c r="A19" s="147" t="s">
        <v>492</v>
      </c>
      <c r="B19" s="145" t="s">
        <v>493</v>
      </c>
      <c r="C19" s="142" t="s">
        <v>491</v>
      </c>
      <c r="D19" s="144">
        <v>8.92</v>
      </c>
      <c r="E19" s="137"/>
      <c r="F19" s="137"/>
      <c r="G19" s="134"/>
    </row>
    <row r="20" spans="1:11" ht="34.5" customHeight="1">
      <c r="A20" s="142" t="s">
        <v>496</v>
      </c>
      <c r="B20" s="143" t="s">
        <v>32</v>
      </c>
      <c r="C20" s="142" t="s">
        <v>33</v>
      </c>
      <c r="D20" s="144">
        <f>D24</f>
        <v>1139.8545454545454</v>
      </c>
      <c r="E20" s="135"/>
      <c r="F20" s="135"/>
      <c r="G20" s="134"/>
    </row>
    <row r="21" spans="1:11" ht="19.5" customHeight="1">
      <c r="A21" s="135"/>
      <c r="B21" s="135"/>
      <c r="C21" s="135"/>
      <c r="D21" s="135"/>
      <c r="E21" s="135"/>
      <c r="F21" s="135"/>
      <c r="G21" s="134"/>
    </row>
    <row r="22" spans="1:11" ht="19.5" customHeight="1">
      <c r="A22" s="141" t="s">
        <v>481</v>
      </c>
      <c r="B22" s="141" t="s">
        <v>497</v>
      </c>
      <c r="C22" s="141" t="s">
        <v>483</v>
      </c>
      <c r="D22" s="141" t="s">
        <v>484</v>
      </c>
      <c r="E22" s="141" t="s">
        <v>498</v>
      </c>
      <c r="F22" s="137"/>
      <c r="G22" s="137"/>
      <c r="H22" s="139"/>
      <c r="I22" s="139"/>
      <c r="J22" s="139"/>
      <c r="K22" s="139"/>
    </row>
    <row r="23" spans="1:11" ht="34.5" customHeight="1">
      <c r="A23" s="142" t="s">
        <v>494</v>
      </c>
      <c r="B23" s="143" t="s">
        <v>499</v>
      </c>
      <c r="C23" s="142" t="s">
        <v>33</v>
      </c>
      <c r="D23" s="144">
        <v>895.6</v>
      </c>
      <c r="E23" s="148" t="s">
        <v>500</v>
      </c>
      <c r="F23" s="137"/>
      <c r="G23" s="134"/>
    </row>
    <row r="24" spans="1:11" ht="34.5" customHeight="1">
      <c r="A24" s="142" t="s">
        <v>496</v>
      </c>
      <c r="B24" s="143" t="s">
        <v>32</v>
      </c>
      <c r="C24" s="142" t="s">
        <v>33</v>
      </c>
      <c r="D24" s="144">
        <f>D23*1.4/1.1</f>
        <v>1139.8545454545454</v>
      </c>
      <c r="E24" s="149" t="s">
        <v>501</v>
      </c>
      <c r="F24" s="135"/>
      <c r="G24" s="134"/>
    </row>
    <row r="25" spans="1:11" ht="19.5" customHeight="1">
      <c r="A25" s="135"/>
      <c r="B25" s="135"/>
      <c r="C25" s="135"/>
      <c r="D25" s="135"/>
      <c r="E25" s="135"/>
      <c r="F25" s="135"/>
      <c r="G25" s="134"/>
    </row>
    <row r="26" spans="1:11" ht="19.5" customHeight="1"/>
    <row r="27" spans="1:11" ht="19.5" customHeight="1">
      <c r="B27" s="176" t="s">
        <v>502</v>
      </c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1" ht="19.5" customHeight="1"/>
    <row r="29" spans="1:11" ht="19.5" customHeight="1"/>
    <row r="30" spans="1:11" ht="19.5" customHeight="1"/>
    <row r="32" spans="1:11">
      <c r="B32" s="150"/>
    </row>
  </sheetData>
  <mergeCells count="6">
    <mergeCell ref="B27:K27"/>
    <mergeCell ref="A2:F2"/>
    <mergeCell ref="D4:E4"/>
    <mergeCell ref="D5:E5"/>
    <mergeCell ref="D6:E6"/>
    <mergeCell ref="D7:E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Q2:V9"/>
  <sheetViews>
    <sheetView zoomScale="95" zoomScaleNormal="95" workbookViewId="0">
      <selection activeCell="R17" sqref="R17"/>
    </sheetView>
  </sheetViews>
  <sheetFormatPr defaultColWidth="11.5703125" defaultRowHeight="12.75"/>
  <sheetData>
    <row r="2" spans="17:22">
      <c r="Q2" s="177" t="s">
        <v>503</v>
      </c>
      <c r="R2" s="177"/>
      <c r="S2" s="177"/>
      <c r="T2" s="177"/>
      <c r="U2" s="177"/>
      <c r="V2" s="177"/>
    </row>
    <row r="3" spans="17:22">
      <c r="Q3" s="177"/>
      <c r="R3" s="177"/>
      <c r="S3" s="177"/>
      <c r="T3" s="177"/>
      <c r="U3" s="177"/>
      <c r="V3" s="177"/>
    </row>
    <row r="4" spans="17:22">
      <c r="Q4" s="177"/>
      <c r="R4" s="177"/>
      <c r="S4" s="177"/>
      <c r="T4" s="177"/>
      <c r="U4" s="177"/>
      <c r="V4" s="177"/>
    </row>
    <row r="5" spans="17:22">
      <c r="Q5" s="177"/>
      <c r="R5" s="177"/>
      <c r="S5" s="177"/>
      <c r="T5" s="177"/>
      <c r="U5" s="177"/>
      <c r="V5" s="177"/>
    </row>
    <row r="6" spans="17:22">
      <c r="Q6" s="177"/>
      <c r="R6" s="177"/>
      <c r="S6" s="177"/>
      <c r="T6" s="177"/>
      <c r="U6" s="177"/>
      <c r="V6" s="177"/>
    </row>
    <row r="7" spans="17:22">
      <c r="Q7" s="177"/>
      <c r="R7" s="177"/>
      <c r="S7" s="177"/>
      <c r="T7" s="177"/>
      <c r="U7" s="177"/>
      <c r="V7" s="177"/>
    </row>
    <row r="8" spans="17:22">
      <c r="Q8" s="177"/>
      <c r="R8" s="177"/>
      <c r="S8" s="177"/>
      <c r="T8" s="177"/>
      <c r="U8" s="177"/>
      <c r="V8" s="177"/>
    </row>
    <row r="9" spans="17:22">
      <c r="Q9" s="177"/>
      <c r="R9" s="177"/>
      <c r="S9" s="177"/>
      <c r="T9" s="177"/>
      <c r="U9" s="177"/>
      <c r="V9" s="177"/>
    </row>
  </sheetData>
  <mergeCells count="1">
    <mergeCell ref="Q2:V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56"/>
  <sheetViews>
    <sheetView zoomScale="95" zoomScaleNormal="95" workbookViewId="0">
      <selection activeCell="A15" sqref="A15"/>
    </sheetView>
  </sheetViews>
  <sheetFormatPr defaultColWidth="11.5703125" defaultRowHeight="12.75"/>
  <cols>
    <col min="1" max="1" width="71.42578125" style="151" customWidth="1"/>
    <col min="2" max="5" width="13.5703125" style="151" customWidth="1"/>
    <col min="6" max="6" width="60.28515625" style="151" customWidth="1"/>
    <col min="7" max="8" width="13.5703125" style="151" customWidth="1"/>
    <col min="9" max="9" width="13.5703125" style="152" customWidth="1"/>
    <col min="10" max="10" width="11.5703125" style="152"/>
    <col min="11" max="16384" width="11.5703125" style="151"/>
  </cols>
  <sheetData>
    <row r="1" spans="1:16384" ht="38.25">
      <c r="A1" s="153" t="s">
        <v>504</v>
      </c>
      <c r="B1" s="154" t="s">
        <v>15</v>
      </c>
      <c r="C1" s="153" t="s">
        <v>505</v>
      </c>
      <c r="D1" s="153" t="s">
        <v>506</v>
      </c>
      <c r="E1" s="153" t="s">
        <v>507</v>
      </c>
      <c r="F1" s="153" t="s">
        <v>508</v>
      </c>
      <c r="G1" s="153" t="s">
        <v>509</v>
      </c>
      <c r="H1" s="153" t="s">
        <v>510</v>
      </c>
      <c r="I1" s="155" t="s">
        <v>511</v>
      </c>
      <c r="J1" s="155" t="s">
        <v>512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25.5">
      <c r="A2" s="156" t="s">
        <v>513</v>
      </c>
      <c r="B2" s="157" t="s">
        <v>108</v>
      </c>
      <c r="C2" s="157"/>
      <c r="D2" s="156">
        <f>1</f>
        <v>1</v>
      </c>
      <c r="E2" s="158">
        <v>1</v>
      </c>
      <c r="F2" s="157" t="s">
        <v>514</v>
      </c>
      <c r="G2" s="159">
        <v>0</v>
      </c>
      <c r="H2" s="159">
        <v>1</v>
      </c>
      <c r="I2" s="160">
        <v>86.82</v>
      </c>
      <c r="J2" s="161">
        <f>H2*I2</f>
        <v>86.82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hidden="1">
      <c r="A3" s="162" t="s">
        <v>445</v>
      </c>
      <c r="B3" s="157" t="s">
        <v>108</v>
      </c>
      <c r="C3" s="157"/>
      <c r="D3" s="62">
        <f>1</f>
        <v>1</v>
      </c>
      <c r="E3" s="158">
        <v>1</v>
      </c>
      <c r="F3" s="157"/>
      <c r="G3" s="159"/>
      <c r="H3" s="159"/>
      <c r="I3" s="160"/>
      <c r="J3" s="161">
        <f>H3*I3</f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ht="25.5">
      <c r="A4" s="67" t="s">
        <v>412</v>
      </c>
      <c r="B4" s="157" t="s">
        <v>108</v>
      </c>
      <c r="C4" s="157"/>
      <c r="D4" s="67">
        <f>3</f>
        <v>3</v>
      </c>
      <c r="E4" s="158">
        <v>3</v>
      </c>
      <c r="F4" s="157" t="s">
        <v>515</v>
      </c>
      <c r="G4" s="159">
        <v>0</v>
      </c>
      <c r="H4" s="159">
        <v>3</v>
      </c>
      <c r="I4" s="160">
        <v>8.64</v>
      </c>
      <c r="J4" s="161">
        <f>H4*I4</f>
        <v>25.92</v>
      </c>
    </row>
    <row r="5" spans="1:16384" ht="51">
      <c r="A5" s="156" t="s">
        <v>416</v>
      </c>
      <c r="B5" s="157"/>
      <c r="C5" s="157"/>
      <c r="D5" s="156">
        <f>12</f>
        <v>12</v>
      </c>
      <c r="E5" s="158">
        <v>12</v>
      </c>
      <c r="F5" s="156" t="s">
        <v>516</v>
      </c>
      <c r="G5" s="158">
        <v>5</v>
      </c>
      <c r="H5" s="159">
        <f>E5-G5</f>
        <v>7</v>
      </c>
      <c r="I5" s="160">
        <v>9.77</v>
      </c>
      <c r="J5" s="161">
        <f>H5*I5</f>
        <v>68.39</v>
      </c>
    </row>
    <row r="6" spans="1:16384" ht="25.5">
      <c r="A6" s="156" t="s">
        <v>517</v>
      </c>
      <c r="B6" s="157"/>
      <c r="C6" s="157"/>
      <c r="D6" s="156">
        <f>10</f>
        <v>10</v>
      </c>
      <c r="E6" s="158">
        <v>10</v>
      </c>
      <c r="F6" s="156" t="s">
        <v>518</v>
      </c>
      <c r="G6" s="158">
        <v>63</v>
      </c>
      <c r="H6" s="163" t="s">
        <v>519</v>
      </c>
      <c r="I6" s="160"/>
      <c r="J6" s="164" t="s">
        <v>519</v>
      </c>
    </row>
    <row r="7" spans="1:16384">
      <c r="A7" s="163" t="s">
        <v>520</v>
      </c>
      <c r="B7" s="67"/>
      <c r="C7" s="67"/>
      <c r="D7" s="156">
        <f>4+3+2+2+3+1+1+2+1+4+4+4+3+4+4+5+1+3+1+2</f>
        <v>54</v>
      </c>
      <c r="E7" s="158">
        <f t="shared" ref="E7:E25" si="0">D7</f>
        <v>54</v>
      </c>
      <c r="F7" s="156" t="s">
        <v>521</v>
      </c>
      <c r="G7" s="158">
        <v>150</v>
      </c>
      <c r="H7" s="163" t="s">
        <v>519</v>
      </c>
      <c r="I7" s="55"/>
      <c r="J7" s="164" t="s">
        <v>519</v>
      </c>
    </row>
    <row r="8" spans="1:16384">
      <c r="A8" s="163" t="s">
        <v>522</v>
      </c>
      <c r="B8" s="67"/>
      <c r="C8" s="67"/>
      <c r="D8" s="156">
        <f>2+2+2+3+3+5+2+2+2+3+2+3+3+1</f>
        <v>35</v>
      </c>
      <c r="E8" s="158">
        <f t="shared" si="0"/>
        <v>35</v>
      </c>
      <c r="F8" s="156" t="s">
        <v>523</v>
      </c>
      <c r="G8" s="158">
        <v>150</v>
      </c>
      <c r="H8" s="163" t="s">
        <v>519</v>
      </c>
      <c r="I8" s="71"/>
      <c r="J8" s="164" t="s">
        <v>519</v>
      </c>
    </row>
    <row r="9" spans="1:16384">
      <c r="A9" s="163" t="s">
        <v>524</v>
      </c>
      <c r="B9" s="67"/>
      <c r="C9" s="67"/>
      <c r="D9" s="156">
        <f>1+2+1+1+2+1+1</f>
        <v>9</v>
      </c>
      <c r="E9" s="158">
        <f t="shared" si="0"/>
        <v>9</v>
      </c>
      <c r="F9" s="156" t="s">
        <v>525</v>
      </c>
      <c r="G9" s="158">
        <v>10</v>
      </c>
      <c r="H9" s="163" t="s">
        <v>519</v>
      </c>
      <c r="I9" s="71"/>
      <c r="J9" s="164" t="s">
        <v>519</v>
      </c>
    </row>
    <row r="10" spans="1:16384">
      <c r="A10" s="163" t="s">
        <v>526</v>
      </c>
      <c r="B10" s="67"/>
      <c r="C10" s="67"/>
      <c r="D10" s="156">
        <v>2</v>
      </c>
      <c r="E10" s="158">
        <f t="shared" si="0"/>
        <v>2</v>
      </c>
      <c r="F10" s="156" t="s">
        <v>527</v>
      </c>
      <c r="G10" s="158">
        <f>2</f>
        <v>2</v>
      </c>
      <c r="H10" s="163" t="s">
        <v>519</v>
      </c>
      <c r="I10" s="71"/>
      <c r="J10" s="164" t="s">
        <v>519</v>
      </c>
    </row>
    <row r="11" spans="1:16384">
      <c r="A11" s="163" t="s">
        <v>528</v>
      </c>
      <c r="B11" s="67"/>
      <c r="C11" s="67"/>
      <c r="D11" s="156">
        <f>1+1+1+1+1+1+1</f>
        <v>7</v>
      </c>
      <c r="E11" s="158">
        <f t="shared" si="0"/>
        <v>7</v>
      </c>
      <c r="F11" s="156" t="s">
        <v>529</v>
      </c>
      <c r="G11" s="158">
        <v>37</v>
      </c>
      <c r="H11" s="163" t="s">
        <v>519</v>
      </c>
      <c r="I11" s="55"/>
      <c r="J11" s="164" t="s">
        <v>519</v>
      </c>
    </row>
    <row r="12" spans="1:16384">
      <c r="A12" s="163" t="s">
        <v>530</v>
      </c>
      <c r="B12" s="67"/>
      <c r="C12" s="67"/>
      <c r="D12" s="156">
        <f>1+1+1+1+1+1+1+1+1+1+1+1+2+3+1+1</f>
        <v>19</v>
      </c>
      <c r="E12" s="158">
        <f t="shared" si="0"/>
        <v>19</v>
      </c>
      <c r="F12" s="156" t="s">
        <v>531</v>
      </c>
      <c r="G12" s="158">
        <v>50</v>
      </c>
      <c r="H12" s="163" t="s">
        <v>519</v>
      </c>
      <c r="I12" s="71"/>
      <c r="J12" s="164" t="s">
        <v>519</v>
      </c>
    </row>
    <row r="13" spans="1:16384">
      <c r="A13" s="163" t="s">
        <v>532</v>
      </c>
      <c r="B13" s="67"/>
      <c r="C13" s="67"/>
      <c r="D13" s="156">
        <f>1+1+2+1</f>
        <v>5</v>
      </c>
      <c r="E13" s="158">
        <f t="shared" si="0"/>
        <v>5</v>
      </c>
      <c r="F13" s="156" t="s">
        <v>533</v>
      </c>
      <c r="G13" s="158">
        <v>50</v>
      </c>
      <c r="H13" s="163" t="s">
        <v>519</v>
      </c>
      <c r="I13" s="71"/>
      <c r="J13" s="164" t="s">
        <v>519</v>
      </c>
    </row>
    <row r="14" spans="1:16384">
      <c r="A14" s="163" t="s">
        <v>534</v>
      </c>
      <c r="B14" s="67"/>
      <c r="C14" s="67"/>
      <c r="D14" s="156">
        <f>1+1+2+2+2</f>
        <v>8</v>
      </c>
      <c r="E14" s="158">
        <f t="shared" si="0"/>
        <v>8</v>
      </c>
      <c r="F14" s="156" t="s">
        <v>529</v>
      </c>
      <c r="G14" s="158">
        <v>37</v>
      </c>
      <c r="H14" s="163" t="s">
        <v>519</v>
      </c>
      <c r="I14" s="71"/>
      <c r="J14" s="164" t="s">
        <v>519</v>
      </c>
    </row>
    <row r="15" spans="1:16384">
      <c r="A15" s="163" t="s">
        <v>535</v>
      </c>
      <c r="B15" s="67"/>
      <c r="C15" s="67"/>
      <c r="D15" s="156">
        <f>1+1+1+2+1+1+1+1</f>
        <v>9</v>
      </c>
      <c r="E15" s="158">
        <f t="shared" si="0"/>
        <v>9</v>
      </c>
      <c r="F15" s="156" t="s">
        <v>536</v>
      </c>
      <c r="G15" s="158">
        <v>75</v>
      </c>
      <c r="H15" s="163" t="s">
        <v>519</v>
      </c>
      <c r="I15" s="55"/>
      <c r="J15" s="164" t="s">
        <v>519</v>
      </c>
    </row>
    <row r="16" spans="1:16384">
      <c r="A16" s="156" t="s">
        <v>537</v>
      </c>
      <c r="B16" s="67"/>
      <c r="C16" s="67"/>
      <c r="D16" s="67">
        <v>6</v>
      </c>
      <c r="E16" s="158">
        <f t="shared" si="0"/>
        <v>6</v>
      </c>
      <c r="F16" s="156" t="s">
        <v>538</v>
      </c>
      <c r="G16" s="159">
        <v>24</v>
      </c>
      <c r="H16" s="163" t="s">
        <v>519</v>
      </c>
      <c r="I16" s="55"/>
      <c r="J16" s="164" t="s">
        <v>519</v>
      </c>
    </row>
    <row r="17" spans="1:10">
      <c r="A17" s="156" t="s">
        <v>539</v>
      </c>
      <c r="B17" s="67"/>
      <c r="C17" s="67"/>
      <c r="D17" s="156">
        <f>1+1+1+1+1+1+2</f>
        <v>8</v>
      </c>
      <c r="E17" s="158">
        <f t="shared" si="0"/>
        <v>8</v>
      </c>
      <c r="F17" s="156" t="s">
        <v>540</v>
      </c>
      <c r="G17" s="158">
        <v>49</v>
      </c>
      <c r="H17" s="163" t="s">
        <v>519</v>
      </c>
      <c r="I17" s="55"/>
      <c r="J17" s="164" t="s">
        <v>519</v>
      </c>
    </row>
    <row r="18" spans="1:10">
      <c r="A18" s="156" t="s">
        <v>541</v>
      </c>
      <c r="B18" s="67"/>
      <c r="C18" s="67"/>
      <c r="D18" s="156">
        <f>3</f>
        <v>3</v>
      </c>
      <c r="E18" s="158">
        <f t="shared" si="0"/>
        <v>3</v>
      </c>
      <c r="F18" s="156" t="s">
        <v>542</v>
      </c>
      <c r="G18" s="158">
        <v>37</v>
      </c>
      <c r="H18" s="163" t="s">
        <v>519</v>
      </c>
      <c r="I18" s="55"/>
      <c r="J18" s="164" t="s">
        <v>519</v>
      </c>
    </row>
    <row r="19" spans="1:10" ht="25.5">
      <c r="A19" s="156" t="s">
        <v>419</v>
      </c>
      <c r="B19" s="67"/>
      <c r="C19" s="67"/>
      <c r="D19" s="156">
        <v>1</v>
      </c>
      <c r="E19" s="158">
        <f t="shared" si="0"/>
        <v>1</v>
      </c>
      <c r="F19" s="156" t="s">
        <v>543</v>
      </c>
      <c r="G19" s="158">
        <v>0</v>
      </c>
      <c r="H19" s="159">
        <f t="shared" ref="H19:H25" si="1">E19-G19</f>
        <v>1</v>
      </c>
      <c r="I19" s="55">
        <v>2.38</v>
      </c>
      <c r="J19" s="161">
        <f t="shared" ref="J19:J25" si="2">H19*I19</f>
        <v>2.38</v>
      </c>
    </row>
    <row r="20" spans="1:10" ht="25.5">
      <c r="A20" s="156" t="s">
        <v>422</v>
      </c>
      <c r="B20" s="67"/>
      <c r="C20" s="67"/>
      <c r="D20" s="67">
        <v>15</v>
      </c>
      <c r="E20" s="158">
        <f t="shared" si="0"/>
        <v>15</v>
      </c>
      <c r="F20" s="156" t="s">
        <v>544</v>
      </c>
      <c r="G20" s="159">
        <v>0</v>
      </c>
      <c r="H20" s="159">
        <f t="shared" si="1"/>
        <v>15</v>
      </c>
      <c r="I20" s="55">
        <v>2.91</v>
      </c>
      <c r="J20" s="161">
        <f t="shared" si="2"/>
        <v>43.650000000000006</v>
      </c>
    </row>
    <row r="21" spans="1:10" ht="25.5">
      <c r="A21" s="156" t="s">
        <v>425</v>
      </c>
      <c r="B21" s="67"/>
      <c r="C21" s="67"/>
      <c r="D21" s="67">
        <v>1</v>
      </c>
      <c r="E21" s="158">
        <f t="shared" si="0"/>
        <v>1</v>
      </c>
      <c r="F21" s="156" t="s">
        <v>545</v>
      </c>
      <c r="G21" s="159">
        <v>0</v>
      </c>
      <c r="H21" s="159">
        <f t="shared" si="1"/>
        <v>1</v>
      </c>
      <c r="I21" s="55">
        <v>5.91</v>
      </c>
      <c r="J21" s="161">
        <f t="shared" si="2"/>
        <v>5.91</v>
      </c>
    </row>
    <row r="22" spans="1:10" ht="25.5">
      <c r="A22" s="156" t="s">
        <v>428</v>
      </c>
      <c r="B22" s="67"/>
      <c r="C22" s="67"/>
      <c r="D22" s="67">
        <v>25</v>
      </c>
      <c r="E22" s="158">
        <f t="shared" si="0"/>
        <v>25</v>
      </c>
      <c r="F22" s="156" t="s">
        <v>546</v>
      </c>
      <c r="G22" s="159">
        <v>6</v>
      </c>
      <c r="H22" s="159">
        <f t="shared" si="1"/>
        <v>19</v>
      </c>
      <c r="I22" s="55">
        <v>7.82</v>
      </c>
      <c r="J22" s="161">
        <f t="shared" si="2"/>
        <v>148.58000000000001</v>
      </c>
    </row>
    <row r="23" spans="1:10" ht="25.5">
      <c r="A23" s="156" t="s">
        <v>431</v>
      </c>
      <c r="B23" s="67"/>
      <c r="C23" s="67"/>
      <c r="D23" s="67">
        <v>11</v>
      </c>
      <c r="E23" s="158">
        <f t="shared" si="0"/>
        <v>11</v>
      </c>
      <c r="F23" s="156" t="s">
        <v>547</v>
      </c>
      <c r="G23" s="159">
        <v>6</v>
      </c>
      <c r="H23" s="159">
        <f t="shared" si="1"/>
        <v>5</v>
      </c>
      <c r="I23" s="55">
        <v>10</v>
      </c>
      <c r="J23" s="161">
        <f t="shared" si="2"/>
        <v>50</v>
      </c>
    </row>
    <row r="24" spans="1:10" ht="25.5">
      <c r="A24" s="156" t="s">
        <v>434</v>
      </c>
      <c r="B24" s="67"/>
      <c r="C24" s="67"/>
      <c r="D24" s="67">
        <v>15</v>
      </c>
      <c r="E24" s="158">
        <f t="shared" si="0"/>
        <v>15</v>
      </c>
      <c r="F24" s="156" t="s">
        <v>548</v>
      </c>
      <c r="G24" s="159">
        <v>0</v>
      </c>
      <c r="H24" s="159">
        <f t="shared" si="1"/>
        <v>15</v>
      </c>
      <c r="I24" s="55">
        <v>17.8</v>
      </c>
      <c r="J24" s="161">
        <f t="shared" si="2"/>
        <v>267</v>
      </c>
    </row>
    <row r="25" spans="1:10" ht="25.5">
      <c r="A25" s="156" t="s">
        <v>437</v>
      </c>
      <c r="B25" s="67"/>
      <c r="C25" s="67"/>
      <c r="D25" s="67">
        <v>2</v>
      </c>
      <c r="E25" s="158">
        <f t="shared" si="0"/>
        <v>2</v>
      </c>
      <c r="F25" s="156" t="s">
        <v>549</v>
      </c>
      <c r="G25" s="159">
        <v>0</v>
      </c>
      <c r="H25" s="159">
        <f t="shared" si="1"/>
        <v>2</v>
      </c>
      <c r="I25" s="55">
        <v>29.42</v>
      </c>
      <c r="J25" s="161">
        <f t="shared" si="2"/>
        <v>58.84</v>
      </c>
    </row>
    <row r="26" spans="1:10" ht="25.5">
      <c r="A26" s="156" t="s">
        <v>228</v>
      </c>
      <c r="B26" s="67" t="s">
        <v>33</v>
      </c>
      <c r="C26" s="69">
        <f>'Orçamento por ambiente'!H85</f>
        <v>0.61</v>
      </c>
      <c r="D26" s="67"/>
      <c r="E26" s="158">
        <f>C26</f>
        <v>0.61</v>
      </c>
      <c r="F26" s="156" t="s">
        <v>550</v>
      </c>
      <c r="G26" s="159">
        <v>49</v>
      </c>
      <c r="H26" s="163" t="s">
        <v>519</v>
      </c>
      <c r="I26" s="55"/>
      <c r="J26" s="164" t="s">
        <v>519</v>
      </c>
    </row>
    <row r="27" spans="1:10">
      <c r="A27" s="156" t="s">
        <v>551</v>
      </c>
      <c r="B27" s="67"/>
      <c r="C27" s="74"/>
      <c r="D27" s="67">
        <v>80</v>
      </c>
      <c r="E27" s="158">
        <f t="shared" ref="E27:E53" si="3">D27</f>
        <v>80</v>
      </c>
      <c r="F27" s="156" t="s">
        <v>552</v>
      </c>
      <c r="G27" s="158">
        <v>425</v>
      </c>
      <c r="H27" s="163" t="s">
        <v>519</v>
      </c>
      <c r="I27" s="67"/>
      <c r="J27" s="164" t="s">
        <v>519</v>
      </c>
    </row>
    <row r="28" spans="1:10" hidden="1">
      <c r="A28" s="165" t="s">
        <v>553</v>
      </c>
      <c r="B28" s="67"/>
      <c r="C28" s="74"/>
      <c r="D28" s="67">
        <v>40</v>
      </c>
      <c r="E28" s="158">
        <f t="shared" si="3"/>
        <v>40</v>
      </c>
      <c r="F28" s="156"/>
      <c r="G28" s="158"/>
      <c r="H28" s="159">
        <f>E28</f>
        <v>40</v>
      </c>
      <c r="I28" s="67"/>
      <c r="J28" s="161">
        <f>H28*I28</f>
        <v>0</v>
      </c>
    </row>
    <row r="29" spans="1:10" hidden="1">
      <c r="A29" s="165" t="s">
        <v>554</v>
      </c>
      <c r="B29" s="67"/>
      <c r="C29" s="74"/>
      <c r="D29" s="67">
        <v>40</v>
      </c>
      <c r="E29" s="158">
        <f t="shared" si="3"/>
        <v>40</v>
      </c>
      <c r="F29" s="156"/>
      <c r="G29" s="158"/>
      <c r="H29" s="159">
        <f>E29</f>
        <v>40</v>
      </c>
      <c r="I29" s="71"/>
      <c r="J29" s="161">
        <f>H29*I29</f>
        <v>0</v>
      </c>
    </row>
    <row r="30" spans="1:10" hidden="1">
      <c r="A30" s="165" t="s">
        <v>555</v>
      </c>
      <c r="B30" s="67"/>
      <c r="C30" s="74"/>
      <c r="D30" s="67">
        <v>30</v>
      </c>
      <c r="E30" s="158">
        <f t="shared" si="3"/>
        <v>30</v>
      </c>
      <c r="F30" s="156"/>
      <c r="G30" s="158"/>
      <c r="H30" s="159">
        <f>E30</f>
        <v>30</v>
      </c>
      <c r="I30" s="71"/>
      <c r="J30" s="161">
        <f>H30*I30</f>
        <v>0</v>
      </c>
    </row>
    <row r="31" spans="1:10">
      <c r="A31" s="156" t="s">
        <v>556</v>
      </c>
      <c r="B31" s="67"/>
      <c r="C31" s="74"/>
      <c r="D31" s="67">
        <v>8</v>
      </c>
      <c r="E31" s="158">
        <f t="shared" si="3"/>
        <v>8</v>
      </c>
      <c r="F31" s="156" t="s">
        <v>557</v>
      </c>
      <c r="G31" s="158">
        <v>10</v>
      </c>
      <c r="H31" s="163" t="s">
        <v>519</v>
      </c>
      <c r="I31" s="71"/>
      <c r="J31" s="164" t="s">
        <v>519</v>
      </c>
    </row>
    <row r="32" spans="1:10">
      <c r="A32" s="156" t="s">
        <v>558</v>
      </c>
      <c r="B32" s="67"/>
      <c r="C32" s="74"/>
      <c r="D32" s="67">
        <v>2</v>
      </c>
      <c r="E32" s="158">
        <f t="shared" si="3"/>
        <v>2</v>
      </c>
      <c r="F32" s="156" t="s">
        <v>559</v>
      </c>
      <c r="G32" s="158">
        <v>38</v>
      </c>
      <c r="H32" s="163" t="s">
        <v>519</v>
      </c>
      <c r="I32" s="71"/>
      <c r="J32" s="164" t="s">
        <v>519</v>
      </c>
    </row>
    <row r="33" spans="1:10">
      <c r="A33" s="156" t="s">
        <v>441</v>
      </c>
      <c r="B33" s="67" t="s">
        <v>108</v>
      </c>
      <c r="C33" s="74"/>
      <c r="D33" s="67">
        <v>250</v>
      </c>
      <c r="E33" s="158">
        <f t="shared" si="3"/>
        <v>250</v>
      </c>
      <c r="F33" s="156" t="s">
        <v>560</v>
      </c>
      <c r="G33" s="158">
        <v>0</v>
      </c>
      <c r="H33" s="159">
        <f>D33</f>
        <v>250</v>
      </c>
      <c r="I33" s="71">
        <v>5.71</v>
      </c>
      <c r="J33" s="161">
        <f>H33*I33</f>
        <v>1427.5</v>
      </c>
    </row>
    <row r="34" spans="1:10" ht="38.25">
      <c r="A34" s="156" t="s">
        <v>561</v>
      </c>
      <c r="B34" s="67" t="s">
        <v>33</v>
      </c>
      <c r="C34" s="74"/>
      <c r="D34" s="67">
        <v>200</v>
      </c>
      <c r="E34" s="158">
        <f t="shared" si="3"/>
        <v>200</v>
      </c>
      <c r="F34" s="156" t="s">
        <v>562</v>
      </c>
      <c r="G34" s="158">
        <f>28*100</f>
        <v>2800</v>
      </c>
      <c r="H34" s="163" t="s">
        <v>519</v>
      </c>
      <c r="I34" s="71"/>
      <c r="J34" s="164" t="s">
        <v>519</v>
      </c>
    </row>
    <row r="35" spans="1:10" ht="38.25">
      <c r="A35" s="156" t="s">
        <v>563</v>
      </c>
      <c r="B35" s="67" t="s">
        <v>33</v>
      </c>
      <c r="C35" s="74"/>
      <c r="D35" s="67">
        <v>100</v>
      </c>
      <c r="E35" s="158">
        <f t="shared" si="3"/>
        <v>100</v>
      </c>
      <c r="F35" s="156" t="s">
        <v>562</v>
      </c>
      <c r="G35" s="158">
        <f>28*100</f>
        <v>2800</v>
      </c>
      <c r="H35" s="163" t="s">
        <v>519</v>
      </c>
      <c r="I35" s="71"/>
      <c r="J35" s="164" t="s">
        <v>519</v>
      </c>
    </row>
    <row r="36" spans="1:10" ht="38.25">
      <c r="A36" s="156" t="s">
        <v>564</v>
      </c>
      <c r="B36" s="67" t="s">
        <v>33</v>
      </c>
      <c r="C36" s="74"/>
      <c r="D36" s="67">
        <v>200</v>
      </c>
      <c r="E36" s="158">
        <f t="shared" si="3"/>
        <v>200</v>
      </c>
      <c r="F36" s="156" t="s">
        <v>565</v>
      </c>
      <c r="G36" s="158">
        <f>33*100</f>
        <v>3300</v>
      </c>
      <c r="H36" s="163" t="s">
        <v>519</v>
      </c>
      <c r="I36" s="71"/>
      <c r="J36" s="164" t="s">
        <v>519</v>
      </c>
    </row>
    <row r="37" spans="1:10" ht="38.25">
      <c r="A37" s="156" t="s">
        <v>566</v>
      </c>
      <c r="B37" s="67" t="s">
        <v>33</v>
      </c>
      <c r="C37" s="74"/>
      <c r="D37" s="67">
        <v>100</v>
      </c>
      <c r="E37" s="158">
        <f t="shared" si="3"/>
        <v>100</v>
      </c>
      <c r="F37" s="156" t="s">
        <v>565</v>
      </c>
      <c r="G37" s="158">
        <f>33*100</f>
        <v>3300</v>
      </c>
      <c r="H37" s="163" t="s">
        <v>519</v>
      </c>
      <c r="I37" s="71"/>
      <c r="J37" s="164" t="s">
        <v>519</v>
      </c>
    </row>
    <row r="38" spans="1:10" ht="38.25">
      <c r="A38" s="156" t="s">
        <v>567</v>
      </c>
      <c r="B38" s="67" t="s">
        <v>33</v>
      </c>
      <c r="C38" s="74"/>
      <c r="D38" s="67">
        <v>200</v>
      </c>
      <c r="E38" s="158">
        <f t="shared" si="3"/>
        <v>200</v>
      </c>
      <c r="F38" s="156" t="s">
        <v>568</v>
      </c>
      <c r="G38" s="158">
        <f>63*100</f>
        <v>6300</v>
      </c>
      <c r="H38" s="163" t="s">
        <v>519</v>
      </c>
      <c r="I38" s="71"/>
      <c r="J38" s="164" t="s">
        <v>519</v>
      </c>
    </row>
    <row r="39" spans="1:10" ht="38.25">
      <c r="A39" s="156" t="s">
        <v>569</v>
      </c>
      <c r="B39" s="67" t="s">
        <v>33</v>
      </c>
      <c r="C39" s="74"/>
      <c r="D39" s="67">
        <v>200</v>
      </c>
      <c r="E39" s="158">
        <f t="shared" si="3"/>
        <v>200</v>
      </c>
      <c r="F39" s="156" t="s">
        <v>568</v>
      </c>
      <c r="G39" s="158">
        <f>63*100</f>
        <v>6300</v>
      </c>
      <c r="H39" s="163" t="s">
        <v>519</v>
      </c>
      <c r="I39" s="71"/>
      <c r="J39" s="164" t="s">
        <v>519</v>
      </c>
    </row>
    <row r="40" spans="1:10" ht="38.25">
      <c r="A40" s="156" t="s">
        <v>570</v>
      </c>
      <c r="B40" s="67" t="s">
        <v>33</v>
      </c>
      <c r="C40" s="74"/>
      <c r="D40" s="67">
        <v>200</v>
      </c>
      <c r="E40" s="158">
        <f t="shared" si="3"/>
        <v>200</v>
      </c>
      <c r="F40" s="156" t="s">
        <v>568</v>
      </c>
      <c r="G40" s="158">
        <f>63*100</f>
        <v>6300</v>
      </c>
      <c r="H40" s="163" t="s">
        <v>519</v>
      </c>
      <c r="I40" s="71"/>
      <c r="J40" s="164" t="s">
        <v>519</v>
      </c>
    </row>
    <row r="41" spans="1:10" ht="38.25">
      <c r="A41" s="156" t="s">
        <v>571</v>
      </c>
      <c r="B41" s="67" t="s">
        <v>33</v>
      </c>
      <c r="C41" s="74"/>
      <c r="D41" s="67">
        <v>300</v>
      </c>
      <c r="E41" s="158">
        <f t="shared" si="3"/>
        <v>300</v>
      </c>
      <c r="F41" s="156" t="s">
        <v>568</v>
      </c>
      <c r="G41" s="158">
        <f>63*100</f>
        <v>6300</v>
      </c>
      <c r="H41" s="163" t="s">
        <v>519</v>
      </c>
      <c r="I41" s="71"/>
      <c r="J41" s="164" t="s">
        <v>519</v>
      </c>
    </row>
    <row r="42" spans="1:10" ht="38.25">
      <c r="A42" s="156" t="s">
        <v>572</v>
      </c>
      <c r="B42" s="67" t="s">
        <v>33</v>
      </c>
      <c r="C42" s="74"/>
      <c r="D42" s="67">
        <v>200</v>
      </c>
      <c r="E42" s="158">
        <f t="shared" si="3"/>
        <v>200</v>
      </c>
      <c r="F42" s="156" t="s">
        <v>568</v>
      </c>
      <c r="G42" s="158">
        <f>63*100</f>
        <v>6300</v>
      </c>
      <c r="H42" s="163" t="s">
        <v>519</v>
      </c>
      <c r="I42" s="71"/>
      <c r="J42" s="164" t="s">
        <v>519</v>
      </c>
    </row>
    <row r="43" spans="1:10" ht="25.5">
      <c r="A43" s="156" t="s">
        <v>573</v>
      </c>
      <c r="B43" s="67"/>
      <c r="C43" s="74"/>
      <c r="D43" s="67">
        <v>1</v>
      </c>
      <c r="E43" s="158">
        <f t="shared" si="3"/>
        <v>1</v>
      </c>
      <c r="F43" s="156" t="s">
        <v>574</v>
      </c>
      <c r="G43" s="158">
        <v>1</v>
      </c>
      <c r="H43" s="163" t="s">
        <v>519</v>
      </c>
      <c r="I43" s="71"/>
      <c r="J43" s="164" t="s">
        <v>519</v>
      </c>
    </row>
    <row r="44" spans="1:10" ht="25.5">
      <c r="A44" s="156" t="s">
        <v>575</v>
      </c>
      <c r="B44" s="67"/>
      <c r="C44" s="74"/>
      <c r="D44" s="67">
        <v>1</v>
      </c>
      <c r="E44" s="158">
        <f t="shared" si="3"/>
        <v>1</v>
      </c>
      <c r="F44" s="156" t="s">
        <v>576</v>
      </c>
      <c r="G44" s="158">
        <v>2</v>
      </c>
      <c r="H44" s="163" t="s">
        <v>519</v>
      </c>
      <c r="I44" s="71"/>
      <c r="J44" s="164" t="s">
        <v>519</v>
      </c>
    </row>
    <row r="45" spans="1:10" ht="25.5">
      <c r="A45" s="156" t="s">
        <v>577</v>
      </c>
      <c r="B45" s="67"/>
      <c r="C45" s="74"/>
      <c r="D45" s="67">
        <v>1</v>
      </c>
      <c r="E45" s="158">
        <f t="shared" si="3"/>
        <v>1</v>
      </c>
      <c r="F45" s="156" t="s">
        <v>578</v>
      </c>
      <c r="G45" s="158">
        <v>1</v>
      </c>
      <c r="H45" s="163" t="s">
        <v>519</v>
      </c>
      <c r="I45" s="71"/>
      <c r="J45" s="164" t="s">
        <v>519</v>
      </c>
    </row>
    <row r="46" spans="1:10" ht="25.5">
      <c r="A46" s="156" t="s">
        <v>579</v>
      </c>
      <c r="B46" s="67"/>
      <c r="C46" s="74"/>
      <c r="D46" s="67">
        <v>27</v>
      </c>
      <c r="E46" s="158">
        <f t="shared" si="3"/>
        <v>27</v>
      </c>
      <c r="F46" s="156" t="s">
        <v>580</v>
      </c>
      <c r="G46" s="158">
        <v>50</v>
      </c>
      <c r="H46" s="163" t="s">
        <v>519</v>
      </c>
      <c r="I46" s="71"/>
      <c r="J46" s="164" t="s">
        <v>519</v>
      </c>
    </row>
    <row r="47" spans="1:10" ht="25.5">
      <c r="A47" s="156" t="s">
        <v>581</v>
      </c>
      <c r="B47" s="67"/>
      <c r="C47" s="67"/>
      <c r="D47" s="67">
        <v>13</v>
      </c>
      <c r="E47" s="158">
        <f t="shared" si="3"/>
        <v>13</v>
      </c>
      <c r="F47" s="156" t="s">
        <v>582</v>
      </c>
      <c r="G47" s="158">
        <v>58</v>
      </c>
      <c r="H47" s="163" t="s">
        <v>519</v>
      </c>
      <c r="I47" s="71"/>
      <c r="J47" s="164" t="s">
        <v>519</v>
      </c>
    </row>
    <row r="48" spans="1:10" ht="25.5">
      <c r="A48" s="156" t="s">
        <v>583</v>
      </c>
      <c r="B48" s="67"/>
      <c r="C48" s="67"/>
      <c r="D48" s="67">
        <v>16</v>
      </c>
      <c r="E48" s="158">
        <f t="shared" si="3"/>
        <v>16</v>
      </c>
      <c r="F48" s="156" t="s">
        <v>584</v>
      </c>
      <c r="G48" s="158">
        <v>35</v>
      </c>
      <c r="H48" s="163" t="s">
        <v>519</v>
      </c>
      <c r="I48" s="71"/>
      <c r="J48" s="164" t="s">
        <v>519</v>
      </c>
    </row>
    <row r="49" spans="1:10" ht="25.5">
      <c r="A49" s="156" t="s">
        <v>585</v>
      </c>
      <c r="B49" s="67"/>
      <c r="C49" s="67"/>
      <c r="D49" s="67">
        <v>6</v>
      </c>
      <c r="E49" s="158">
        <f t="shared" si="3"/>
        <v>6</v>
      </c>
      <c r="F49" s="156" t="s">
        <v>586</v>
      </c>
      <c r="G49" s="158">
        <v>15</v>
      </c>
      <c r="H49" s="163" t="s">
        <v>519</v>
      </c>
      <c r="I49" s="71"/>
      <c r="J49" s="164" t="s">
        <v>519</v>
      </c>
    </row>
    <row r="50" spans="1:10" ht="25.5">
      <c r="A50" s="156" t="s">
        <v>587</v>
      </c>
      <c r="B50" s="67"/>
      <c r="C50" s="67"/>
      <c r="D50" s="67">
        <v>4</v>
      </c>
      <c r="E50" s="158">
        <f t="shared" si="3"/>
        <v>4</v>
      </c>
      <c r="F50" s="156" t="s">
        <v>588</v>
      </c>
      <c r="G50" s="158">
        <v>19</v>
      </c>
      <c r="H50" s="163" t="s">
        <v>519</v>
      </c>
      <c r="I50" s="71"/>
      <c r="J50" s="164" t="s">
        <v>519</v>
      </c>
    </row>
    <row r="51" spans="1:10" ht="25.5">
      <c r="A51" s="156" t="s">
        <v>589</v>
      </c>
      <c r="B51" s="67"/>
      <c r="C51" s="67"/>
      <c r="D51" s="67">
        <v>22</v>
      </c>
      <c r="E51" s="158">
        <f t="shared" si="3"/>
        <v>22</v>
      </c>
      <c r="F51" s="156" t="s">
        <v>590</v>
      </c>
      <c r="G51" s="158">
        <v>48</v>
      </c>
      <c r="H51" s="163" t="s">
        <v>519</v>
      </c>
      <c r="I51" s="71"/>
      <c r="J51" s="164" t="s">
        <v>519</v>
      </c>
    </row>
    <row r="52" spans="1:10">
      <c r="A52" s="156" t="s">
        <v>591</v>
      </c>
      <c r="B52" s="67"/>
      <c r="C52" s="67"/>
      <c r="D52" s="67">
        <v>1</v>
      </c>
      <c r="E52" s="158">
        <f t="shared" si="3"/>
        <v>1</v>
      </c>
      <c r="F52" s="156"/>
      <c r="G52" s="158"/>
      <c r="H52" s="158"/>
      <c r="I52" s="71"/>
      <c r="J52" s="161"/>
    </row>
    <row r="53" spans="1:10" ht="38.25">
      <c r="A53" s="156" t="s">
        <v>592</v>
      </c>
      <c r="B53" s="67"/>
      <c r="C53" s="67"/>
      <c r="D53" s="67">
        <v>1</v>
      </c>
      <c r="E53" s="158">
        <f t="shared" si="3"/>
        <v>1</v>
      </c>
      <c r="F53" s="156" t="s">
        <v>593</v>
      </c>
      <c r="G53" s="158">
        <v>0</v>
      </c>
      <c r="H53" s="158" t="s">
        <v>519</v>
      </c>
      <c r="I53" s="71"/>
      <c r="J53" s="164" t="s">
        <v>519</v>
      </c>
    </row>
    <row r="54" spans="1:10">
      <c r="A54" s="156" t="s">
        <v>445</v>
      </c>
      <c r="B54" s="67"/>
      <c r="C54" s="67"/>
      <c r="D54" s="67">
        <v>1</v>
      </c>
      <c r="E54" s="158"/>
      <c r="F54" s="156"/>
      <c r="G54" s="158"/>
      <c r="H54" s="158"/>
      <c r="I54" s="71"/>
      <c r="J54" s="161"/>
    </row>
    <row r="55" spans="1:10">
      <c r="I55" s="178" t="s">
        <v>455</v>
      </c>
      <c r="J55" s="178">
        <f>SUM(J2:J51)</f>
        <v>2184.9899999999998</v>
      </c>
    </row>
    <row r="56" spans="1:10">
      <c r="I56" s="178"/>
      <c r="J56" s="178"/>
    </row>
  </sheetData>
  <mergeCells count="2">
    <mergeCell ref="I55:I56"/>
    <mergeCell ref="J55:J5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7"/>
  <sheetViews>
    <sheetView topLeftCell="A7" zoomScale="95" zoomScaleNormal="95" workbookViewId="0">
      <selection activeCell="A29" sqref="A29"/>
    </sheetView>
  </sheetViews>
  <sheetFormatPr defaultColWidth="11.5703125" defaultRowHeight="12.75"/>
  <cols>
    <col min="1" max="1" width="36.28515625" style="151" customWidth="1"/>
    <col min="2" max="2" width="21.7109375" style="151" customWidth="1"/>
    <col min="3" max="3" width="15.5703125" style="151" customWidth="1"/>
    <col min="4" max="4" width="39.140625" style="151" customWidth="1"/>
    <col min="5" max="5" width="14.7109375" style="151" customWidth="1"/>
    <col min="6" max="6" width="11.5703125" style="166"/>
    <col min="7" max="7" width="11.5703125" style="151"/>
    <col min="8" max="8" width="22" style="151" customWidth="1"/>
    <col min="9" max="9" width="14.28515625" style="151" customWidth="1"/>
    <col min="10" max="16384" width="11.5703125" style="151"/>
  </cols>
  <sheetData>
    <row r="1" spans="1:10" ht="25.5">
      <c r="A1" s="167" t="s">
        <v>594</v>
      </c>
      <c r="B1" s="167" t="s">
        <v>595</v>
      </c>
      <c r="C1" s="167" t="s">
        <v>16</v>
      </c>
      <c r="D1" s="167" t="s">
        <v>596</v>
      </c>
      <c r="E1" s="167" t="s">
        <v>509</v>
      </c>
      <c r="G1" s="8"/>
      <c r="H1" s="8"/>
      <c r="I1" s="168" t="s">
        <v>16</v>
      </c>
      <c r="J1" s="168" t="s">
        <v>597</v>
      </c>
    </row>
    <row r="2" spans="1:10" ht="25.5">
      <c r="A2" s="163" t="s">
        <v>520</v>
      </c>
      <c r="B2" s="163" t="s">
        <v>500</v>
      </c>
      <c r="C2" s="158">
        <f>4+3+2+2+3+1+1+2+1+4+4+4+3+4+4+5+1+3+1+2</f>
        <v>54</v>
      </c>
      <c r="D2" s="163" t="s">
        <v>521</v>
      </c>
      <c r="E2" s="156">
        <v>150</v>
      </c>
      <c r="F2" s="169" t="s">
        <v>598</v>
      </c>
      <c r="H2" s="156" t="s">
        <v>422</v>
      </c>
      <c r="I2" s="156">
        <f>C11+C14+C17+C19+C22</f>
        <v>15</v>
      </c>
      <c r="J2" s="74"/>
    </row>
    <row r="3" spans="1:10" ht="25.5">
      <c r="A3" s="163" t="s">
        <v>522</v>
      </c>
      <c r="B3" s="163" t="s">
        <v>500</v>
      </c>
      <c r="C3" s="158">
        <f>2+2+2+3+3+5+2+2+2+3+2+3+3+1</f>
        <v>35</v>
      </c>
      <c r="D3" s="163" t="s">
        <v>523</v>
      </c>
      <c r="E3" s="156">
        <v>150</v>
      </c>
      <c r="F3" s="169" t="s">
        <v>598</v>
      </c>
      <c r="H3" s="156" t="s">
        <v>425</v>
      </c>
      <c r="I3" s="156">
        <f>C25</f>
        <v>1</v>
      </c>
      <c r="J3" s="156"/>
    </row>
    <row r="4" spans="1:10" ht="25.5">
      <c r="A4" s="163" t="s">
        <v>524</v>
      </c>
      <c r="B4" s="163" t="s">
        <v>500</v>
      </c>
      <c r="C4" s="158">
        <f>1+2+1+1+2+1+1</f>
        <v>9</v>
      </c>
      <c r="D4" s="163" t="s">
        <v>525</v>
      </c>
      <c r="E4" s="156">
        <v>10</v>
      </c>
      <c r="F4" s="169" t="s">
        <v>598</v>
      </c>
      <c r="H4" s="156" t="s">
        <v>428</v>
      </c>
      <c r="I4" s="156">
        <f>C11+(2*C14)+(2*C19)</f>
        <v>25</v>
      </c>
      <c r="J4" s="156">
        <f>1+5</f>
        <v>6</v>
      </c>
    </row>
    <row r="5" spans="1:10" ht="25.5">
      <c r="A5" s="163" t="s">
        <v>526</v>
      </c>
      <c r="B5" s="163" t="s">
        <v>500</v>
      </c>
      <c r="C5" s="158">
        <f>2+1</f>
        <v>3</v>
      </c>
      <c r="D5" s="163" t="s">
        <v>527</v>
      </c>
      <c r="E5" s="156">
        <f>2</f>
        <v>2</v>
      </c>
      <c r="H5" s="156" t="s">
        <v>431</v>
      </c>
      <c r="I5" s="156">
        <f>C14+(2*C22)</f>
        <v>9</v>
      </c>
      <c r="J5" s="156">
        <f>1+5</f>
        <v>6</v>
      </c>
    </row>
    <row r="6" spans="1:10">
      <c r="A6" s="163" t="s">
        <v>528</v>
      </c>
      <c r="B6" s="158"/>
      <c r="C6" s="158">
        <f>1+1+1+1+1+1+1</f>
        <v>7</v>
      </c>
      <c r="D6" s="158"/>
      <c r="E6" s="156"/>
      <c r="H6" s="156" t="s">
        <v>434</v>
      </c>
      <c r="I6" s="156">
        <f>(2*C11)+(3*C17)+C19+C22+(3*C25)+C25</f>
        <v>15</v>
      </c>
      <c r="J6" s="156"/>
    </row>
    <row r="7" spans="1:10" ht="25.5">
      <c r="A7" s="163" t="s">
        <v>530</v>
      </c>
      <c r="B7" s="163" t="s">
        <v>500</v>
      </c>
      <c r="C7" s="158">
        <f>1+1+1+1+1+1+1+1+1+1+1+1+2+3+1+1</f>
        <v>19</v>
      </c>
      <c r="D7" s="163" t="s">
        <v>531</v>
      </c>
      <c r="E7" s="156">
        <v>50</v>
      </c>
      <c r="F7" s="169" t="s">
        <v>598</v>
      </c>
      <c r="H7" s="156" t="s">
        <v>437</v>
      </c>
      <c r="I7" s="156">
        <f>C29</f>
        <v>2</v>
      </c>
      <c r="J7" s="156"/>
    </row>
    <row r="8" spans="1:10">
      <c r="A8" s="163" t="s">
        <v>532</v>
      </c>
      <c r="B8" s="163" t="s">
        <v>500</v>
      </c>
      <c r="C8" s="158">
        <f>1+1+2+1</f>
        <v>5</v>
      </c>
      <c r="D8" s="163" t="s">
        <v>533</v>
      </c>
      <c r="E8" s="156">
        <v>50</v>
      </c>
      <c r="F8" s="169" t="s">
        <v>598</v>
      </c>
    </row>
    <row r="9" spans="1:10">
      <c r="A9" s="163" t="s">
        <v>534</v>
      </c>
      <c r="B9" s="163" t="s">
        <v>500</v>
      </c>
      <c r="C9" s="158">
        <f>1+1+2+2+2</f>
        <v>8</v>
      </c>
      <c r="D9" s="163" t="s">
        <v>529</v>
      </c>
      <c r="E9" s="156">
        <v>37</v>
      </c>
      <c r="F9" s="169" t="s">
        <v>598</v>
      </c>
    </row>
    <row r="10" spans="1:10" ht="25.5">
      <c r="A10" s="163" t="s">
        <v>535</v>
      </c>
      <c r="B10" s="163" t="s">
        <v>500</v>
      </c>
      <c r="C10" s="158">
        <f>1+1+1+2+1+1+1+1</f>
        <v>9</v>
      </c>
      <c r="D10" s="163" t="s">
        <v>536</v>
      </c>
      <c r="E10" s="156">
        <v>75</v>
      </c>
      <c r="F10" s="169" t="s">
        <v>598</v>
      </c>
    </row>
    <row r="11" spans="1:10" ht="12.75" customHeight="1">
      <c r="A11" s="179" t="s">
        <v>599</v>
      </c>
      <c r="B11" s="156" t="s">
        <v>422</v>
      </c>
      <c r="C11" s="180">
        <f>1</f>
        <v>1</v>
      </c>
      <c r="D11" s="180"/>
      <c r="E11" s="180"/>
    </row>
    <row r="12" spans="1:10">
      <c r="A12" s="179"/>
      <c r="B12" s="156" t="s">
        <v>600</v>
      </c>
      <c r="C12" s="180"/>
      <c r="D12" s="180"/>
      <c r="E12" s="180"/>
    </row>
    <row r="13" spans="1:10">
      <c r="A13" s="179"/>
      <c r="B13" s="156" t="s">
        <v>601</v>
      </c>
      <c r="C13" s="180"/>
      <c r="D13" s="180"/>
      <c r="E13" s="180"/>
    </row>
    <row r="14" spans="1:10" ht="12.75" customHeight="1">
      <c r="A14" s="179" t="s">
        <v>602</v>
      </c>
      <c r="B14" s="156" t="s">
        <v>422</v>
      </c>
      <c r="C14" s="180">
        <f>2+4+1</f>
        <v>7</v>
      </c>
      <c r="D14" s="180"/>
      <c r="E14" s="180"/>
    </row>
    <row r="15" spans="1:10">
      <c r="A15" s="179"/>
      <c r="B15" s="156" t="s">
        <v>603</v>
      </c>
      <c r="C15" s="180"/>
      <c r="D15" s="180"/>
      <c r="E15" s="180"/>
    </row>
    <row r="16" spans="1:10">
      <c r="A16" s="179"/>
      <c r="B16" s="156" t="s">
        <v>604</v>
      </c>
      <c r="C16" s="180"/>
      <c r="D16" s="180"/>
      <c r="E16" s="180"/>
    </row>
    <row r="17" spans="1:6" ht="12.95" customHeight="1">
      <c r="A17" s="179" t="s">
        <v>605</v>
      </c>
      <c r="B17" s="156" t="s">
        <v>422</v>
      </c>
      <c r="C17" s="180">
        <f>1</f>
        <v>1</v>
      </c>
      <c r="D17" s="180"/>
      <c r="E17" s="180"/>
    </row>
    <row r="18" spans="1:6">
      <c r="A18" s="179"/>
      <c r="B18" s="156" t="s">
        <v>606</v>
      </c>
      <c r="C18" s="180"/>
      <c r="D18" s="180"/>
      <c r="E18" s="180"/>
    </row>
    <row r="19" spans="1:6" ht="12.75" customHeight="1">
      <c r="A19" s="179" t="s">
        <v>607</v>
      </c>
      <c r="B19" s="156" t="s">
        <v>608</v>
      </c>
      <c r="C19" s="180">
        <f>1+1+1+1+1</f>
        <v>5</v>
      </c>
      <c r="D19" s="180"/>
      <c r="E19" s="180"/>
    </row>
    <row r="20" spans="1:6">
      <c r="A20" s="179"/>
      <c r="B20" s="156" t="s">
        <v>603</v>
      </c>
      <c r="C20" s="180"/>
      <c r="D20" s="180"/>
      <c r="E20" s="180"/>
    </row>
    <row r="21" spans="1:6">
      <c r="A21" s="179"/>
      <c r="B21" s="156" t="s">
        <v>609</v>
      </c>
      <c r="C21" s="180"/>
      <c r="D21" s="180"/>
      <c r="E21" s="180"/>
    </row>
    <row r="22" spans="1:6" ht="12.75" customHeight="1">
      <c r="A22" s="179" t="s">
        <v>610</v>
      </c>
      <c r="B22" s="156" t="s">
        <v>608</v>
      </c>
      <c r="C22" s="180">
        <f>1</f>
        <v>1</v>
      </c>
      <c r="D22" s="180"/>
      <c r="E22" s="180"/>
    </row>
    <row r="23" spans="1:6">
      <c r="A23" s="179"/>
      <c r="B23" s="156" t="s">
        <v>609</v>
      </c>
      <c r="C23" s="180"/>
      <c r="D23" s="180"/>
      <c r="E23" s="180"/>
    </row>
    <row r="24" spans="1:6">
      <c r="A24" s="179"/>
      <c r="B24" s="156" t="s">
        <v>611</v>
      </c>
      <c r="C24" s="180"/>
      <c r="D24" s="180"/>
      <c r="E24" s="180"/>
    </row>
    <row r="25" spans="1:6" ht="12.75" customHeight="1">
      <c r="A25" s="179" t="s">
        <v>612</v>
      </c>
      <c r="B25" s="156" t="s">
        <v>425</v>
      </c>
      <c r="C25" s="180">
        <f>1</f>
        <v>1</v>
      </c>
      <c r="D25" s="180"/>
      <c r="E25" s="180"/>
    </row>
    <row r="26" spans="1:6">
      <c r="A26" s="179"/>
      <c r="B26" s="156" t="s">
        <v>606</v>
      </c>
      <c r="C26" s="180"/>
      <c r="D26" s="180"/>
      <c r="E26" s="180"/>
    </row>
    <row r="27" spans="1:6">
      <c r="A27" s="179"/>
      <c r="B27" s="156" t="s">
        <v>613</v>
      </c>
      <c r="C27" s="180"/>
      <c r="D27" s="180"/>
      <c r="E27" s="180"/>
    </row>
    <row r="28" spans="1:6" ht="25.5">
      <c r="A28" s="163" t="s">
        <v>537</v>
      </c>
      <c r="B28" s="163" t="s">
        <v>500</v>
      </c>
      <c r="C28" s="158">
        <f>1+4+1</f>
        <v>6</v>
      </c>
      <c r="D28" s="163" t="s">
        <v>538</v>
      </c>
      <c r="E28" s="156">
        <v>24</v>
      </c>
      <c r="F28" s="169" t="s">
        <v>598</v>
      </c>
    </row>
    <row r="29" spans="1:6" ht="12.75" customHeight="1">
      <c r="A29" s="179" t="s">
        <v>614</v>
      </c>
      <c r="B29" s="156" t="s">
        <v>615</v>
      </c>
      <c r="C29" s="180">
        <f>1+1</f>
        <v>2</v>
      </c>
      <c r="D29" s="180"/>
      <c r="E29" s="180"/>
    </row>
    <row r="30" spans="1:6">
      <c r="A30" s="179"/>
      <c r="B30" s="156" t="s">
        <v>616</v>
      </c>
      <c r="C30" s="180"/>
      <c r="D30" s="180"/>
      <c r="E30" s="180"/>
    </row>
    <row r="31" spans="1:6">
      <c r="A31" s="163" t="s">
        <v>539</v>
      </c>
      <c r="B31" s="163" t="s">
        <v>500</v>
      </c>
      <c r="C31" s="158">
        <f>1+1+1+1+1+1+2</f>
        <v>8</v>
      </c>
      <c r="D31" s="163" t="s">
        <v>540</v>
      </c>
      <c r="E31" s="156">
        <v>49</v>
      </c>
      <c r="F31" s="169" t="s">
        <v>598</v>
      </c>
    </row>
    <row r="32" spans="1:6">
      <c r="A32" s="163" t="s">
        <v>541</v>
      </c>
      <c r="B32" s="163" t="s">
        <v>500</v>
      </c>
      <c r="C32" s="158">
        <f>3</f>
        <v>3</v>
      </c>
      <c r="D32" s="163" t="s">
        <v>542</v>
      </c>
      <c r="E32" s="156">
        <v>37</v>
      </c>
      <c r="F32" s="169" t="s">
        <v>598</v>
      </c>
    </row>
    <row r="33" spans="1:6" ht="25.5">
      <c r="A33" s="156" t="s">
        <v>513</v>
      </c>
      <c r="B33" s="156"/>
      <c r="C33" s="156">
        <f>1</f>
        <v>1</v>
      </c>
      <c r="D33" s="156"/>
      <c r="E33" s="156"/>
    </row>
    <row r="34" spans="1:6">
      <c r="A34" s="62" t="s">
        <v>445</v>
      </c>
      <c r="B34" s="62"/>
      <c r="C34" s="62">
        <f>1</f>
        <v>1</v>
      </c>
      <c r="D34" s="62"/>
      <c r="E34" s="156"/>
    </row>
    <row r="35" spans="1:6">
      <c r="A35" s="62" t="s">
        <v>412</v>
      </c>
      <c r="B35" s="62"/>
      <c r="C35" s="62">
        <f>3</f>
        <v>3</v>
      </c>
      <c r="D35" s="62"/>
      <c r="E35" s="156"/>
    </row>
    <row r="36" spans="1:6" ht="38.25">
      <c r="A36" s="156" t="s">
        <v>416</v>
      </c>
      <c r="B36" s="156" t="s">
        <v>500</v>
      </c>
      <c r="C36" s="156">
        <f>12</f>
        <v>12</v>
      </c>
      <c r="D36" s="156" t="s">
        <v>617</v>
      </c>
      <c r="E36" s="156">
        <v>5</v>
      </c>
    </row>
    <row r="37" spans="1:6" ht="25.5">
      <c r="A37" s="156" t="s">
        <v>517</v>
      </c>
      <c r="B37" s="156" t="s">
        <v>500</v>
      </c>
      <c r="C37" s="156">
        <f>10</f>
        <v>10</v>
      </c>
      <c r="D37" s="156" t="s">
        <v>518</v>
      </c>
      <c r="E37" s="156">
        <v>63</v>
      </c>
      <c r="F37" s="169" t="s">
        <v>598</v>
      </c>
    </row>
  </sheetData>
  <mergeCells count="28">
    <mergeCell ref="A29:A30"/>
    <mergeCell ref="C29:C30"/>
    <mergeCell ref="D29:D30"/>
    <mergeCell ref="E29:E30"/>
    <mergeCell ref="A22:A24"/>
    <mergeCell ref="C22:C24"/>
    <mergeCell ref="D22:D24"/>
    <mergeCell ref="E22:E24"/>
    <mergeCell ref="A25:A27"/>
    <mergeCell ref="C25:C27"/>
    <mergeCell ref="D25:D27"/>
    <mergeCell ref="E25:E27"/>
    <mergeCell ref="A17:A18"/>
    <mergeCell ref="C17:C18"/>
    <mergeCell ref="D17:D18"/>
    <mergeCell ref="E17:E18"/>
    <mergeCell ref="A19:A21"/>
    <mergeCell ref="C19:C21"/>
    <mergeCell ref="D19:D21"/>
    <mergeCell ref="E19:E21"/>
    <mergeCell ref="A11:A13"/>
    <mergeCell ref="C11:C13"/>
    <mergeCell ref="D11:D13"/>
    <mergeCell ref="E11:E13"/>
    <mergeCell ref="A14:A16"/>
    <mergeCell ref="C14:C16"/>
    <mergeCell ref="D14:D16"/>
    <mergeCell ref="E14:E1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XFD44"/>
  <sheetViews>
    <sheetView zoomScale="95" zoomScaleNormal="95" workbookViewId="0">
      <selection activeCell="A33" sqref="A33"/>
    </sheetView>
  </sheetViews>
  <sheetFormatPr defaultColWidth="11.5703125" defaultRowHeight="12.75"/>
  <cols>
    <col min="1" max="1" width="71.42578125" style="151" customWidth="1"/>
    <col min="2" max="4" width="13.5703125" style="151" customWidth="1"/>
    <col min="5" max="5" width="15.5703125" style="151" customWidth="1"/>
    <col min="6" max="6" width="60.28515625" style="151" customWidth="1"/>
    <col min="7" max="16380" width="11.5703125" style="151"/>
  </cols>
  <sheetData>
    <row r="1" spans="1:9 16381:16384" s="8" customFormat="1">
      <c r="A1" s="153" t="s">
        <v>618</v>
      </c>
      <c r="B1" s="153" t="s">
        <v>619</v>
      </c>
      <c r="C1" s="153" t="s">
        <v>10</v>
      </c>
      <c r="D1" s="154" t="s">
        <v>15</v>
      </c>
      <c r="E1" s="153" t="s">
        <v>16</v>
      </c>
      <c r="F1"/>
      <c r="XFA1"/>
      <c r="XFB1"/>
      <c r="XFC1"/>
      <c r="XFD1"/>
    </row>
    <row r="2" spans="1:9 16381:16384" s="170" customFormat="1" ht="25.5">
      <c r="A2" s="163" t="s">
        <v>617</v>
      </c>
      <c r="B2" s="163"/>
      <c r="C2" s="163"/>
      <c r="D2" s="163" t="s">
        <v>108</v>
      </c>
      <c r="E2" s="158">
        <v>7</v>
      </c>
      <c r="F2"/>
      <c r="XFA2"/>
      <c r="XFB2"/>
      <c r="XFC2"/>
      <c r="XFD2"/>
    </row>
    <row r="3" spans="1:9 16381:16384" s="170" customFormat="1" ht="25.5">
      <c r="A3" s="163" t="s">
        <v>518</v>
      </c>
      <c r="B3" s="158"/>
      <c r="C3" s="158"/>
      <c r="D3" s="163" t="s">
        <v>108</v>
      </c>
      <c r="E3" s="158">
        <v>10</v>
      </c>
      <c r="F3"/>
      <c r="XFA3"/>
      <c r="XFB3"/>
      <c r="XFC3"/>
      <c r="XFD3"/>
    </row>
    <row r="4" spans="1:9 16381:16384">
      <c r="A4" s="163" t="s">
        <v>521</v>
      </c>
      <c r="B4" s="158"/>
      <c r="C4" s="158"/>
      <c r="D4" s="163" t="s">
        <v>108</v>
      </c>
      <c r="E4" s="158">
        <v>54</v>
      </c>
      <c r="F4"/>
    </row>
    <row r="5" spans="1:9 16381:16384">
      <c r="A5" s="163" t="s">
        <v>523</v>
      </c>
      <c r="B5" s="158"/>
      <c r="C5" s="158"/>
      <c r="D5" s="163" t="s">
        <v>108</v>
      </c>
      <c r="E5" s="158">
        <v>35</v>
      </c>
      <c r="F5"/>
    </row>
    <row r="6" spans="1:9 16381:16384">
      <c r="A6" s="163" t="s">
        <v>525</v>
      </c>
      <c r="B6" s="158"/>
      <c r="C6" s="158"/>
      <c r="D6" s="163" t="s">
        <v>108</v>
      </c>
      <c r="E6" s="158">
        <v>9</v>
      </c>
      <c r="F6"/>
    </row>
    <row r="7" spans="1:9 16381:16384">
      <c r="A7" s="163" t="s">
        <v>527</v>
      </c>
      <c r="B7" s="163"/>
      <c r="C7" s="163"/>
      <c r="D7" s="163" t="s">
        <v>108</v>
      </c>
      <c r="E7" s="158">
        <v>2</v>
      </c>
      <c r="F7"/>
      <c r="G7"/>
      <c r="H7"/>
      <c r="I7"/>
    </row>
    <row r="8" spans="1:9 16381:16384">
      <c r="A8" s="163" t="s">
        <v>531</v>
      </c>
      <c r="B8" s="158"/>
      <c r="C8" s="158"/>
      <c r="D8" s="163" t="s">
        <v>108</v>
      </c>
      <c r="E8" s="158">
        <v>19</v>
      </c>
      <c r="F8"/>
    </row>
    <row r="9" spans="1:9 16381:16384">
      <c r="A9" s="163" t="s">
        <v>533</v>
      </c>
      <c r="B9" s="158"/>
      <c r="C9" s="158"/>
      <c r="D9" s="163" t="s">
        <v>108</v>
      </c>
      <c r="E9" s="158">
        <v>5</v>
      </c>
      <c r="F9"/>
    </row>
    <row r="10" spans="1:9 16381:16384">
      <c r="A10" s="163" t="s">
        <v>529</v>
      </c>
      <c r="B10" s="158"/>
      <c r="C10" s="158"/>
      <c r="D10" s="163" t="s">
        <v>108</v>
      </c>
      <c r="E10" s="158">
        <v>8</v>
      </c>
      <c r="F10"/>
    </row>
    <row r="11" spans="1:9 16381:16384">
      <c r="A11" s="163" t="s">
        <v>536</v>
      </c>
      <c r="B11" s="158"/>
      <c r="C11" s="158"/>
      <c r="D11" s="163" t="s">
        <v>108</v>
      </c>
      <c r="E11" s="158">
        <v>9</v>
      </c>
      <c r="F11"/>
    </row>
    <row r="12" spans="1:9 16381:16384">
      <c r="A12" s="163" t="s">
        <v>538</v>
      </c>
      <c r="B12" s="158"/>
      <c r="C12" s="158"/>
      <c r="D12" s="163" t="s">
        <v>108</v>
      </c>
      <c r="E12" s="158">
        <v>6</v>
      </c>
      <c r="F12"/>
    </row>
    <row r="13" spans="1:9 16381:16384">
      <c r="A13" s="163" t="s">
        <v>540</v>
      </c>
      <c r="B13" s="158"/>
      <c r="C13" s="158"/>
      <c r="D13" s="163" t="s">
        <v>108</v>
      </c>
      <c r="E13" s="158">
        <v>8</v>
      </c>
      <c r="F13"/>
    </row>
    <row r="14" spans="1:9 16381:16384">
      <c r="A14" s="163" t="s">
        <v>542</v>
      </c>
      <c r="B14" s="158"/>
      <c r="C14" s="158"/>
      <c r="D14" s="163" t="s">
        <v>108</v>
      </c>
      <c r="E14" s="158">
        <v>3</v>
      </c>
      <c r="F14"/>
    </row>
    <row r="15" spans="1:9 16381:16384">
      <c r="A15" s="163" t="s">
        <v>620</v>
      </c>
      <c r="B15" s="158"/>
      <c r="C15" s="158"/>
      <c r="D15" s="163" t="s">
        <v>108</v>
      </c>
      <c r="E15" s="158">
        <v>6</v>
      </c>
      <c r="F15"/>
    </row>
    <row r="16" spans="1:9 16381:16384">
      <c r="A16" s="163" t="s">
        <v>621</v>
      </c>
      <c r="B16" s="158"/>
      <c r="C16" s="158"/>
      <c r="D16" s="163" t="s">
        <v>108</v>
      </c>
      <c r="E16" s="158">
        <v>6</v>
      </c>
      <c r="F16"/>
    </row>
    <row r="17" spans="1:6" ht="25.5">
      <c r="A17" s="163" t="s">
        <v>550</v>
      </c>
      <c r="B17" s="158"/>
      <c r="C17" s="158"/>
      <c r="D17" s="163" t="s">
        <v>108</v>
      </c>
      <c r="E17" s="158">
        <v>1</v>
      </c>
      <c r="F17"/>
    </row>
    <row r="18" spans="1:6">
      <c r="A18" s="163" t="s">
        <v>552</v>
      </c>
      <c r="B18" s="158"/>
      <c r="C18" s="158"/>
      <c r="D18" s="163" t="s">
        <v>108</v>
      </c>
      <c r="E18" s="158">
        <v>80</v>
      </c>
      <c r="F18"/>
    </row>
    <row r="19" spans="1:6">
      <c r="A19" s="163" t="s">
        <v>557</v>
      </c>
      <c r="B19" s="158"/>
      <c r="C19" s="158"/>
      <c r="D19" s="163" t="s">
        <v>108</v>
      </c>
      <c r="E19" s="158">
        <v>8</v>
      </c>
      <c r="F19"/>
    </row>
    <row r="20" spans="1:6">
      <c r="A20" s="163" t="s">
        <v>559</v>
      </c>
      <c r="B20" s="158"/>
      <c r="C20" s="158"/>
      <c r="D20" s="163" t="s">
        <v>108</v>
      </c>
      <c r="E20" s="158">
        <v>2</v>
      </c>
      <c r="F20"/>
    </row>
    <row r="21" spans="1:6" ht="25.5">
      <c r="A21" s="163" t="s">
        <v>622</v>
      </c>
      <c r="B21" s="158"/>
      <c r="C21" s="158"/>
      <c r="D21" s="163" t="s">
        <v>108</v>
      </c>
      <c r="E21" s="158">
        <v>1</v>
      </c>
      <c r="F21"/>
    </row>
    <row r="22" spans="1:6" ht="25.5">
      <c r="A22" s="163" t="s">
        <v>623</v>
      </c>
      <c r="B22" s="158"/>
      <c r="C22" s="158"/>
      <c r="D22" s="163" t="s">
        <v>108</v>
      </c>
      <c r="E22" s="158">
        <v>1</v>
      </c>
      <c r="F22"/>
    </row>
    <row r="23" spans="1:6" ht="25.5">
      <c r="A23" s="163" t="s">
        <v>624</v>
      </c>
      <c r="B23" s="158"/>
      <c r="C23" s="158"/>
      <c r="D23" s="163" t="s">
        <v>108</v>
      </c>
      <c r="E23" s="158">
        <v>1</v>
      </c>
      <c r="F23"/>
    </row>
    <row r="24" spans="1:6" ht="25.5">
      <c r="A24" s="163" t="s">
        <v>625</v>
      </c>
      <c r="B24" s="158"/>
      <c r="C24" s="158"/>
      <c r="D24" s="163" t="s">
        <v>108</v>
      </c>
      <c r="E24" s="158">
        <v>1</v>
      </c>
      <c r="F24"/>
    </row>
    <row r="25" spans="1:6" ht="25.5">
      <c r="A25" s="163" t="s">
        <v>626</v>
      </c>
      <c r="B25" s="158"/>
      <c r="C25" s="158"/>
      <c r="D25" s="163" t="s">
        <v>108</v>
      </c>
      <c r="E25" s="158">
        <v>1</v>
      </c>
      <c r="F25"/>
    </row>
    <row r="26" spans="1:6" ht="25.5">
      <c r="A26" s="163" t="s">
        <v>627</v>
      </c>
      <c r="B26" s="158"/>
      <c r="C26" s="158"/>
      <c r="D26" s="163" t="s">
        <v>108</v>
      </c>
      <c r="E26" s="158">
        <v>1</v>
      </c>
      <c r="F26"/>
    </row>
    <row r="27" spans="1:6" ht="25.5">
      <c r="A27" s="163" t="s">
        <v>628</v>
      </c>
      <c r="B27" s="158"/>
      <c r="C27" s="158"/>
      <c r="D27" s="163" t="s">
        <v>108</v>
      </c>
      <c r="E27" s="158">
        <v>2</v>
      </c>
      <c r="F27"/>
    </row>
    <row r="28" spans="1:6" ht="25.5">
      <c r="A28" s="163" t="s">
        <v>629</v>
      </c>
      <c r="B28" s="158"/>
      <c r="C28" s="158"/>
      <c r="D28" s="163" t="s">
        <v>108</v>
      </c>
      <c r="E28" s="158">
        <v>1</v>
      </c>
      <c r="F28"/>
    </row>
    <row r="29" spans="1:6" ht="25.5">
      <c r="A29" s="163" t="s">
        <v>630</v>
      </c>
      <c r="B29" s="158"/>
      <c r="C29" s="158"/>
      <c r="D29" s="163" t="s">
        <v>108</v>
      </c>
      <c r="E29" s="158">
        <v>1</v>
      </c>
      <c r="F29"/>
    </row>
    <row r="30" spans="1:6" ht="25.5">
      <c r="A30" s="163" t="s">
        <v>631</v>
      </c>
      <c r="B30" s="158"/>
      <c r="C30" s="158"/>
      <c r="D30" s="163" t="s">
        <v>108</v>
      </c>
      <c r="E30" s="158">
        <v>1</v>
      </c>
      <c r="F30"/>
    </row>
    <row r="31" spans="1:6" ht="25.5">
      <c r="A31" s="163" t="s">
        <v>632</v>
      </c>
      <c r="B31" s="158"/>
      <c r="C31" s="158"/>
      <c r="D31" s="163" t="s">
        <v>108</v>
      </c>
      <c r="E31" s="158">
        <v>1</v>
      </c>
      <c r="F31"/>
    </row>
    <row r="32" spans="1:6" ht="25.5">
      <c r="A32" s="163" t="s">
        <v>633</v>
      </c>
      <c r="B32" s="158"/>
      <c r="C32" s="158"/>
      <c r="D32" s="163" t="s">
        <v>108</v>
      </c>
      <c r="E32" s="158">
        <v>3</v>
      </c>
      <c r="F32"/>
    </row>
    <row r="33" spans="1:6" ht="25.5">
      <c r="A33" s="163" t="s">
        <v>634</v>
      </c>
      <c r="B33" s="158"/>
      <c r="C33" s="158"/>
      <c r="D33" s="163" t="s">
        <v>108</v>
      </c>
      <c r="E33" s="158">
        <v>2</v>
      </c>
      <c r="F33"/>
    </row>
    <row r="34" spans="1:6">
      <c r="A34" s="163" t="s">
        <v>574</v>
      </c>
      <c r="B34" s="158"/>
      <c r="C34" s="158"/>
      <c r="D34" s="163" t="s">
        <v>108</v>
      </c>
      <c r="E34" s="158">
        <v>1</v>
      </c>
      <c r="F34"/>
    </row>
    <row r="35" spans="1:6" ht="25.5">
      <c r="A35" s="163" t="s">
        <v>576</v>
      </c>
      <c r="B35" s="158"/>
      <c r="C35" s="158"/>
      <c r="D35" s="163" t="s">
        <v>108</v>
      </c>
      <c r="E35" s="158">
        <v>1</v>
      </c>
      <c r="F35"/>
    </row>
    <row r="36" spans="1:6" ht="25.5">
      <c r="A36" s="163" t="s">
        <v>578</v>
      </c>
      <c r="B36" s="158"/>
      <c r="C36" s="158"/>
      <c r="D36" s="163" t="s">
        <v>108</v>
      </c>
      <c r="E36" s="158">
        <v>1</v>
      </c>
      <c r="F36"/>
    </row>
    <row r="37" spans="1:6">
      <c r="A37" s="163" t="s">
        <v>580</v>
      </c>
      <c r="B37" s="158"/>
      <c r="C37" s="158"/>
      <c r="D37" s="163" t="s">
        <v>108</v>
      </c>
      <c r="E37" s="158">
        <v>27</v>
      </c>
      <c r="F37"/>
    </row>
    <row r="38" spans="1:6">
      <c r="A38" s="163" t="s">
        <v>582</v>
      </c>
      <c r="B38" s="163"/>
      <c r="C38" s="163"/>
      <c r="D38" s="163" t="s">
        <v>108</v>
      </c>
      <c r="E38" s="158">
        <v>13</v>
      </c>
      <c r="F38"/>
    </row>
    <row r="39" spans="1:6">
      <c r="A39" s="163" t="s">
        <v>584</v>
      </c>
      <c r="B39" s="158"/>
      <c r="C39" s="158"/>
      <c r="D39" s="163" t="s">
        <v>108</v>
      </c>
      <c r="E39" s="158">
        <v>16</v>
      </c>
      <c r="F39"/>
    </row>
    <row r="40" spans="1:6">
      <c r="A40" s="163" t="s">
        <v>586</v>
      </c>
      <c r="B40" s="158"/>
      <c r="C40" s="158"/>
      <c r="D40" s="163" t="s">
        <v>108</v>
      </c>
      <c r="E40" s="158">
        <v>6</v>
      </c>
      <c r="F40"/>
    </row>
    <row r="41" spans="1:6">
      <c r="A41" s="163" t="s">
        <v>588</v>
      </c>
      <c r="B41" s="158"/>
      <c r="C41" s="158"/>
      <c r="D41" s="163" t="s">
        <v>108</v>
      </c>
      <c r="E41" s="158">
        <v>4</v>
      </c>
      <c r="F41"/>
    </row>
    <row r="42" spans="1:6">
      <c r="A42" s="163" t="s">
        <v>590</v>
      </c>
      <c r="B42" s="158"/>
      <c r="C42" s="158"/>
      <c r="D42" s="163" t="s">
        <v>108</v>
      </c>
      <c r="E42" s="158">
        <v>22</v>
      </c>
      <c r="F42"/>
    </row>
    <row r="43" spans="1:6" ht="25.5">
      <c r="A43" s="163" t="s">
        <v>635</v>
      </c>
      <c r="B43" s="163"/>
      <c r="C43" s="163"/>
      <c r="D43" s="158" t="s">
        <v>108</v>
      </c>
      <c r="E43" s="158">
        <v>2</v>
      </c>
    </row>
    <row r="44" spans="1:6">
      <c r="A44" s="163" t="s">
        <v>636</v>
      </c>
      <c r="B44" s="158"/>
      <c r="C44" s="158"/>
      <c r="D44" s="158" t="s">
        <v>108</v>
      </c>
      <c r="E44" s="158">
        <v>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2723</TotalTime>
  <Application>LibreOffice/24.2.2.2$Windows_X86_64 LibreOffice_project/d56cc158d8a96260b836f100ef4b4ef25d6f1a01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Orçamento por ambiente</vt:lpstr>
      <vt:lpstr>Cronograma</vt:lpstr>
      <vt:lpstr>Composição de Preços</vt:lpstr>
      <vt:lpstr>Assento Sanitário Elevado</vt:lpstr>
      <vt:lpstr>Materiais ATA</vt:lpstr>
      <vt:lpstr>Tomadas (ZÉ CARLOS)</vt:lpstr>
      <vt:lpstr>Planilha para doc. 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TALITA</cp:lastModifiedBy>
  <cp:revision>123</cp:revision>
  <dcterms:created xsi:type="dcterms:W3CDTF">2024-06-17T13:58:17Z</dcterms:created>
  <dcterms:modified xsi:type="dcterms:W3CDTF">2024-10-17T13:33:36Z</dcterms:modified>
  <dc:language>pt-BR</dc:language>
</cp:coreProperties>
</file>