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7" activeTab="0"/>
  </bookViews>
  <sheets>
    <sheet name="PLANILHA" sheetId="1" r:id="rId1"/>
    <sheet name="CÁLCULO" sheetId="2" r:id="rId2"/>
    <sheet name="ADM" sheetId="3" r:id="rId3"/>
  </sheets>
  <definedNames>
    <definedName name="_xlnm.Print_Area" localSheetId="0">'PLANILHA'!$A$1:$J$226</definedName>
    <definedName name="Excel_BuiltIn_Print_Area" localSheetId="0">'PLANILHA'!$A$1:$J$233</definedName>
  </definedNames>
  <calcPr fullCalcOnLoad="1"/>
</workbook>
</file>

<file path=xl/sharedStrings.xml><?xml version="1.0" encoding="utf-8"?>
<sst xmlns="http://schemas.openxmlformats.org/spreadsheetml/2006/main" count="2811" uniqueCount="435">
  <si>
    <r>
      <rPr>
        <b/>
        <sz val="14"/>
        <rFont val="Arial"/>
        <family val="2"/>
      </rPr>
      <t xml:space="preserve">OBRA:  </t>
    </r>
    <r>
      <rPr>
        <sz val="14"/>
        <rFont val="Arial"/>
        <family val="2"/>
      </rPr>
      <t>CONSTRUÇÃO DE MURO DE ARRIMO - EMEI PROFª CELIA ANTUNES DE PROENÇA</t>
    </r>
  </si>
  <si>
    <r>
      <rPr>
        <b/>
        <sz val="14"/>
        <rFont val="Arial"/>
        <family val="2"/>
      </rPr>
      <t xml:space="preserve">LOCAL: </t>
    </r>
    <r>
      <rPr>
        <sz val="14"/>
        <rFont val="Arial"/>
        <family val="2"/>
      </rPr>
      <t>RUA GENARO SAMARCO, JARDIM NOVA PILAR</t>
    </r>
  </si>
  <si>
    <r>
      <rPr>
        <b/>
        <sz val="14"/>
        <rFont val="Arial"/>
        <family val="2"/>
      </rPr>
      <t xml:space="preserve">PROPRIETÁRIO: </t>
    </r>
    <r>
      <rPr>
        <sz val="14"/>
        <rFont val="Arial"/>
        <family val="2"/>
      </rPr>
      <t>PREFEITURA MUNICIPAL DE PILAR DO SUL</t>
    </r>
  </si>
  <si>
    <t>PLANILHA ORÇAMENTÁRIA</t>
  </si>
  <si>
    <t>ITEM</t>
  </si>
  <si>
    <t>FONTE</t>
  </si>
  <si>
    <t>CÓD</t>
  </si>
  <si>
    <t>MATERIAL E MÃO DE OBRA</t>
  </si>
  <si>
    <t>UND</t>
  </si>
  <si>
    <t>QUANT</t>
  </si>
  <si>
    <t>PREÇO UNIT.</t>
  </si>
  <si>
    <t>PREÇO UNIT. C/ BDI  29,79%</t>
  </si>
  <si>
    <t>PREÇO TOTAL C/BDI</t>
  </si>
  <si>
    <t>Administração local</t>
  </si>
  <si>
    <t>1.1</t>
  </si>
  <si>
    <t>COMP.</t>
  </si>
  <si>
    <t>Vb</t>
  </si>
  <si>
    <t>-</t>
  </si>
  <si>
    <t>Serviços Preliminares</t>
  </si>
  <si>
    <t>2.1</t>
  </si>
  <si>
    <t>CDHU</t>
  </si>
  <si>
    <t>02.08.020</t>
  </si>
  <si>
    <t xml:space="preserve">Placa de identificação para obra 2,40mx1,20m  </t>
  </si>
  <si>
    <t>m²</t>
  </si>
  <si>
    <t>2.2</t>
  </si>
  <si>
    <t>04.09.100</t>
  </si>
  <si>
    <t>Retirada de guarda-corpo ou gradil em geral</t>
  </si>
  <si>
    <t>2.3</t>
  </si>
  <si>
    <t>01.17.051</t>
  </si>
  <si>
    <t>Projeto executivo de estrutura em formato A1</t>
  </si>
  <si>
    <t>und</t>
  </si>
  <si>
    <t>2.4</t>
  </si>
  <si>
    <t>02.03.080</t>
  </si>
  <si>
    <t>Fechamento provisório de vãos em chapa de madeira compensada</t>
  </si>
  <si>
    <t>2.5</t>
  </si>
  <si>
    <t>02.02.150</t>
  </si>
  <si>
    <t>Locação de container tipo depósito - área mínima de 13,80 m²</t>
  </si>
  <si>
    <t>Un/Mês</t>
  </si>
  <si>
    <t>2.6</t>
  </si>
  <si>
    <t>02.05.202</t>
  </si>
  <si>
    <t>Andaime torre metálico (1,5 x 1,5 m) com piso metálico</t>
  </si>
  <si>
    <t>mXmês</t>
  </si>
  <si>
    <t>2.7</t>
  </si>
  <si>
    <t xml:space="preserve">02.05.090 </t>
  </si>
  <si>
    <t xml:space="preserve">Montagem e desmontagem de andaime tubular fachadeiro com altura até 10 m </t>
  </si>
  <si>
    <t>Trecho 1 - muro de arrimo - Extensão 4,80 m - Altura 2,70 m</t>
  </si>
  <si>
    <t>3.1</t>
  </si>
  <si>
    <t xml:space="preserve">Locação - Escavação - Compactação </t>
  </si>
  <si>
    <t>3.1.1</t>
  </si>
  <si>
    <t>02.10.050</t>
  </si>
  <si>
    <t>Locação para muros, cercas e alambrados</t>
  </si>
  <si>
    <t>m</t>
  </si>
  <si>
    <t>3.1.2</t>
  </si>
  <si>
    <t>03.01.020</t>
  </si>
  <si>
    <t>Demolição manual de concreto simples</t>
  </si>
  <si>
    <t>m³</t>
  </si>
  <si>
    <t>3.1.3</t>
  </si>
  <si>
    <t>06.01.020</t>
  </si>
  <si>
    <t>Escavação manual em solo de 1ª e 2ª categoria em campo aberto - Bloco e Baldrame</t>
  </si>
  <si>
    <t>3.1.4</t>
  </si>
  <si>
    <t>11.18.040</t>
  </si>
  <si>
    <t>Lastro de pedra britada</t>
  </si>
  <si>
    <t>3.1.5</t>
  </si>
  <si>
    <t>05.07.050</t>
  </si>
  <si>
    <t>Remoção de entulho de obra com caçamba metálica - material volumoso e misturado por alvenaria, terra, madeira, papel, plástico e metal</t>
  </si>
  <si>
    <t>3.2</t>
  </si>
  <si>
    <t>Broca diâmetro 25</t>
  </si>
  <si>
    <t>3.2.1</t>
  </si>
  <si>
    <t>12.01.041</t>
  </si>
  <si>
    <t>Broca em concreto armado diâmetro de 25 cm - completa</t>
  </si>
  <si>
    <t>3.2.2</t>
  </si>
  <si>
    <t>10.01.040</t>
  </si>
  <si>
    <t xml:space="preserve">Armadura em barra de aço CA-50 (A ou B) fyk= 500 MPa </t>
  </si>
  <si>
    <t>kg</t>
  </si>
  <si>
    <t>3.3</t>
  </si>
  <si>
    <t>Bloco E Viga Baldrame</t>
  </si>
  <si>
    <t>3.3.1</t>
  </si>
  <si>
    <t>11.01.130</t>
  </si>
  <si>
    <t>Concreto usinado, fck = 25,0 Mpa</t>
  </si>
  <si>
    <t>3.3.2</t>
  </si>
  <si>
    <t>11.16.040</t>
  </si>
  <si>
    <t>Lançamento e adensamento de concreto ou massa em fundação</t>
  </si>
  <si>
    <t>3.3.3</t>
  </si>
  <si>
    <t>3.3.4</t>
  </si>
  <si>
    <t>09.01.020</t>
  </si>
  <si>
    <t>Forma em madeira comum para fundação</t>
  </si>
  <si>
    <t>3.4</t>
  </si>
  <si>
    <t>Pilar - Mísula</t>
  </si>
  <si>
    <t>3.4.1</t>
  </si>
  <si>
    <t>3.4.2</t>
  </si>
  <si>
    <t>11.16.060</t>
  </si>
  <si>
    <t>Lançamento e adensamento de concreto ou massa em estrutura</t>
  </si>
  <si>
    <t>3.4.3</t>
  </si>
  <si>
    <t>3.4.4</t>
  </si>
  <si>
    <t>09.01.030</t>
  </si>
  <si>
    <t>Forma em madeira comum para estrutura</t>
  </si>
  <si>
    <t>3.5</t>
  </si>
  <si>
    <t>Vigas</t>
  </si>
  <si>
    <t>3.5.1</t>
  </si>
  <si>
    <t>3.5.2</t>
  </si>
  <si>
    <t>3.5.3</t>
  </si>
  <si>
    <t>3.5.4</t>
  </si>
  <si>
    <t>3.6</t>
  </si>
  <si>
    <t xml:space="preserve">Alvenaria - Revestimento </t>
  </si>
  <si>
    <t>3.6.1</t>
  </si>
  <si>
    <t>14.10.121</t>
  </si>
  <si>
    <t>Alvenaria de bloco de concreto de vedação, uso revestido, de 19 cm</t>
  </si>
  <si>
    <t>3.6.2</t>
  </si>
  <si>
    <t>32.17.010</t>
  </si>
  <si>
    <t>Impermeabilização em argamassa impermeável com aditivo hidrófugo- 3 fiadas</t>
  </si>
  <si>
    <t>3.6.3</t>
  </si>
  <si>
    <t>17.02.020</t>
  </si>
  <si>
    <t>Chapisco</t>
  </si>
  <si>
    <t>3.6.4</t>
  </si>
  <si>
    <t>3.6.5</t>
  </si>
  <si>
    <t>34.05.260</t>
  </si>
  <si>
    <t>Gradil em aço galvanizado eletrofundido, malha 65 x 132 mm e pintura eletrostática</t>
  </si>
  <si>
    <t>3.6.6</t>
  </si>
  <si>
    <t>33.10.030</t>
  </si>
  <si>
    <t>Tinta acrílica antimofo em massa, inclusive preparo</t>
  </si>
  <si>
    <t>3.7</t>
  </si>
  <si>
    <t>Preenchimento entre os muros</t>
  </si>
  <si>
    <t>3.7.1</t>
  </si>
  <si>
    <t>3.7.2</t>
  </si>
  <si>
    <t>Trecho 2 - muro de arrimo - Extensão 4,48 m - Altura 2,30 m</t>
  </si>
  <si>
    <t>4.1</t>
  </si>
  <si>
    <t>4.1.1</t>
  </si>
  <si>
    <t>4.1.2</t>
  </si>
  <si>
    <t>4.1.3</t>
  </si>
  <si>
    <t>4.1.4</t>
  </si>
  <si>
    <t>4.1.5</t>
  </si>
  <si>
    <t>4.2</t>
  </si>
  <si>
    <t>4.2.1</t>
  </si>
  <si>
    <t>4.2.2</t>
  </si>
  <si>
    <t>4.3</t>
  </si>
  <si>
    <t>Bloco - Viga Baldrame</t>
  </si>
  <si>
    <t>4.3.1</t>
  </si>
  <si>
    <t>4.3.2</t>
  </si>
  <si>
    <t>4.3.3</t>
  </si>
  <si>
    <t>4.3.4</t>
  </si>
  <si>
    <t>4.4</t>
  </si>
  <si>
    <t>4.4.1</t>
  </si>
  <si>
    <t>4.4.2</t>
  </si>
  <si>
    <t>4.4.3</t>
  </si>
  <si>
    <t>4.4.4</t>
  </si>
  <si>
    <t>4.5</t>
  </si>
  <si>
    <t>4.5.1</t>
  </si>
  <si>
    <t>4.5.2</t>
  </si>
  <si>
    <t>4.5.3</t>
  </si>
  <si>
    <t>4.5.4</t>
  </si>
  <si>
    <t>4.6</t>
  </si>
  <si>
    <t>4.6.1</t>
  </si>
  <si>
    <t>4.6.2</t>
  </si>
  <si>
    <t>4.6.3</t>
  </si>
  <si>
    <t>4.6.4</t>
  </si>
  <si>
    <t>4.6.5</t>
  </si>
  <si>
    <t>4.7</t>
  </si>
  <si>
    <t>4.7.1</t>
  </si>
  <si>
    <t>4.7.2</t>
  </si>
  <si>
    <t>Trecho 3 - muro de arrimo - Extensão 1,50 m - Altura 2,10 m</t>
  </si>
  <si>
    <t>5.1</t>
  </si>
  <si>
    <t>5.1.1</t>
  </si>
  <si>
    <t>5.1.2</t>
  </si>
  <si>
    <t>5.1.3</t>
  </si>
  <si>
    <t>5.1.4</t>
  </si>
  <si>
    <t>5.1.5</t>
  </si>
  <si>
    <t>5.2</t>
  </si>
  <si>
    <t>5.2.1</t>
  </si>
  <si>
    <t>5.2.2</t>
  </si>
  <si>
    <t>5.3</t>
  </si>
  <si>
    <t>5.3.1</t>
  </si>
  <si>
    <t>5.3.2</t>
  </si>
  <si>
    <t>5.3.3</t>
  </si>
  <si>
    <t>5.3.4</t>
  </si>
  <si>
    <t>5.4</t>
  </si>
  <si>
    <t>5.4.1</t>
  </si>
  <si>
    <t>5.4.2</t>
  </si>
  <si>
    <t>5.4.3</t>
  </si>
  <si>
    <t>5.4.4</t>
  </si>
  <si>
    <t>5.5</t>
  </si>
  <si>
    <t>5.5.1</t>
  </si>
  <si>
    <t>5.5.2</t>
  </si>
  <si>
    <t>5.5.3</t>
  </si>
  <si>
    <t>5.5.4</t>
  </si>
  <si>
    <t>5.6</t>
  </si>
  <si>
    <t>5.6.1</t>
  </si>
  <si>
    <t>5.6.2</t>
  </si>
  <si>
    <t>5.6.3</t>
  </si>
  <si>
    <t>5.6.4</t>
  </si>
  <si>
    <t>5.6.5</t>
  </si>
  <si>
    <t>5.7</t>
  </si>
  <si>
    <t>5.7.1</t>
  </si>
  <si>
    <t>5.7.2</t>
  </si>
  <si>
    <t>Trecho 4 - muro de arrimo - Extensão 4,48 m - Altura 1,80 m</t>
  </si>
  <si>
    <t>6.1</t>
  </si>
  <si>
    <t>6.1.1</t>
  </si>
  <si>
    <t>6.1.2</t>
  </si>
  <si>
    <t>6.1.3</t>
  </si>
  <si>
    <t>6.1.4</t>
  </si>
  <si>
    <t>6.1.5</t>
  </si>
  <si>
    <t>6.2</t>
  </si>
  <si>
    <t>6.2.1</t>
  </si>
  <si>
    <t>6.2.2</t>
  </si>
  <si>
    <t>6.3</t>
  </si>
  <si>
    <t>6.3.1</t>
  </si>
  <si>
    <t>6.3.2</t>
  </si>
  <si>
    <t>6.3.3</t>
  </si>
  <si>
    <t>6.3.4</t>
  </si>
  <si>
    <t>6.4</t>
  </si>
  <si>
    <t>6.4.1</t>
  </si>
  <si>
    <t>6.4.2</t>
  </si>
  <si>
    <t>6.4.3</t>
  </si>
  <si>
    <t>6.4.4</t>
  </si>
  <si>
    <t>6.5</t>
  </si>
  <si>
    <t>6.5.1</t>
  </si>
  <si>
    <t>6.5.2</t>
  </si>
  <si>
    <t>6.5.3</t>
  </si>
  <si>
    <t>6.5.4</t>
  </si>
  <si>
    <t>6.6</t>
  </si>
  <si>
    <t>6.6.1</t>
  </si>
  <si>
    <t>6.6.2</t>
  </si>
  <si>
    <t>6.6.3</t>
  </si>
  <si>
    <t>6.6.4</t>
  </si>
  <si>
    <t>6.6.5</t>
  </si>
  <si>
    <t>6.7</t>
  </si>
  <si>
    <t>6.7.1</t>
  </si>
  <si>
    <t>6.7.2</t>
  </si>
  <si>
    <t>Trecho 5 - muro de arrimo - Extensão 3,05 m - Altura 1,60 m</t>
  </si>
  <si>
    <t>7.1</t>
  </si>
  <si>
    <t>7.1.1</t>
  </si>
  <si>
    <t>7.1.2</t>
  </si>
  <si>
    <t>7.1.3</t>
  </si>
  <si>
    <t>7.1.4</t>
  </si>
  <si>
    <t>7.1.5</t>
  </si>
  <si>
    <t>7.2</t>
  </si>
  <si>
    <t>7.2.1</t>
  </si>
  <si>
    <t>7.2.2</t>
  </si>
  <si>
    <t>7.3</t>
  </si>
  <si>
    <t>7.3.1</t>
  </si>
  <si>
    <t>7.3.2</t>
  </si>
  <si>
    <t>7.3.3</t>
  </si>
  <si>
    <t>7.3.4</t>
  </si>
  <si>
    <t>7.4</t>
  </si>
  <si>
    <t>7.4.1</t>
  </si>
  <si>
    <t>7.4.2</t>
  </si>
  <si>
    <t>7.4.3</t>
  </si>
  <si>
    <t>7.4.4</t>
  </si>
  <si>
    <t>7.5</t>
  </si>
  <si>
    <t>7.5.1</t>
  </si>
  <si>
    <t>7.5.2</t>
  </si>
  <si>
    <t>7.5.3</t>
  </si>
  <si>
    <t>7.5.4</t>
  </si>
  <si>
    <t>7.6</t>
  </si>
  <si>
    <t>7.6.1</t>
  </si>
  <si>
    <t>Alvenaria de bloco de concreto de vedação de 19 x 19 x 39 cm - classe C</t>
  </si>
  <si>
    <t>7.6.2</t>
  </si>
  <si>
    <t>7.6.3</t>
  </si>
  <si>
    <t>7.6.4</t>
  </si>
  <si>
    <t>7.6.5</t>
  </si>
  <si>
    <t>7.7</t>
  </si>
  <si>
    <t>7.7.1</t>
  </si>
  <si>
    <t>7.7.2</t>
  </si>
  <si>
    <t>Calçada</t>
  </si>
  <si>
    <t>8.1</t>
  </si>
  <si>
    <t>8.2</t>
  </si>
  <si>
    <t>8.3</t>
  </si>
  <si>
    <t>8.4</t>
  </si>
  <si>
    <t>8.5</t>
  </si>
  <si>
    <t>8.6</t>
  </si>
  <si>
    <t>Hidráulica</t>
  </si>
  <si>
    <t>9.1</t>
  </si>
  <si>
    <t>04.30.060</t>
  </si>
  <si>
    <t>Remoção de tubulação hidráulica em geral</t>
  </si>
  <si>
    <t>9.2</t>
  </si>
  <si>
    <t>SINAPI</t>
  </si>
  <si>
    <t>un</t>
  </si>
  <si>
    <t>9.3</t>
  </si>
  <si>
    <t>Hidrômetro dn 25 (¾ ), 5,0 m³/h fornecimento e instalação.</t>
  </si>
  <si>
    <t>9.4</t>
  </si>
  <si>
    <t>Serviços complementares</t>
  </si>
  <si>
    <t>10.1</t>
  </si>
  <si>
    <t>10.2</t>
  </si>
  <si>
    <t>24.02.040</t>
  </si>
  <si>
    <t>Porta/portão tipo gradil sob medida</t>
  </si>
  <si>
    <t>10.3</t>
  </si>
  <si>
    <t>55.01.020</t>
  </si>
  <si>
    <t>Limpeza final da obra</t>
  </si>
  <si>
    <t>TOTAL COM BDI</t>
  </si>
  <si>
    <t>PILAR DO SUL-SP, 21 DE JUNHO DE 2021.</t>
  </si>
  <si>
    <t xml:space="preserve">T O T A L </t>
  </si>
  <si>
    <t>TOTAL</t>
  </si>
  <si>
    <t>COMPRIM</t>
  </si>
  <si>
    <t>ALT</t>
  </si>
  <si>
    <t>MÊS</t>
  </si>
  <si>
    <t>M</t>
  </si>
  <si>
    <t>LARG</t>
  </si>
  <si>
    <t>Contrapiso</t>
  </si>
  <si>
    <t>Muro</t>
  </si>
  <si>
    <t>X</t>
  </si>
  <si>
    <t>Bloco 1</t>
  </si>
  <si>
    <t>Bloco 2 e 3</t>
  </si>
  <si>
    <t>Baldrame</t>
  </si>
  <si>
    <t>3.1.6</t>
  </si>
  <si>
    <t>x</t>
  </si>
  <si>
    <t>Contrapiso interno (concreto)</t>
  </si>
  <si>
    <t>Mureta</t>
  </si>
  <si>
    <t>Bloco 1 (terra)</t>
  </si>
  <si>
    <t>Bloco 2 e 3 (terra)</t>
  </si>
  <si>
    <t>Baldrame (terra)</t>
  </si>
  <si>
    <t>Broca terra (terra)</t>
  </si>
  <si>
    <t>M/E</t>
  </si>
  <si>
    <t>12,5mm</t>
  </si>
  <si>
    <t>10.0mm</t>
  </si>
  <si>
    <t>Estribos</t>
  </si>
  <si>
    <t>Bloco e Viga Baldrame</t>
  </si>
  <si>
    <t>Bloco 1 - 8.0mm</t>
  </si>
  <si>
    <t>Bloco 2 e 3 - 8.0mm</t>
  </si>
  <si>
    <t>Viga 12,5mm</t>
  </si>
  <si>
    <t>Estribos da viga baldrame 6.3mm</t>
  </si>
  <si>
    <t>Blocos</t>
  </si>
  <si>
    <t>Viga baldrame</t>
  </si>
  <si>
    <t>Pilar e Mísula</t>
  </si>
  <si>
    <t>Mísula</t>
  </si>
  <si>
    <t>Pilar</t>
  </si>
  <si>
    <t>Misula 2,5m 10.0mm</t>
  </si>
  <si>
    <t>Misula 2,6m 10.0mm</t>
  </si>
  <si>
    <t>Vergalhão 16mm</t>
  </si>
  <si>
    <t>Vergalhão 12,5mm</t>
  </si>
  <si>
    <t>Vergalhão 8,0mm (mureta)</t>
  </si>
  <si>
    <t>Estribo</t>
  </si>
  <si>
    <t>Misula face</t>
  </si>
  <si>
    <t>Misula lateral (2 lados)</t>
  </si>
  <si>
    <t>Viga 1 - Vergalhão</t>
  </si>
  <si>
    <t>Viga 2 - Vergalhão</t>
  </si>
  <si>
    <t>Viga 3 - Vergalhão</t>
  </si>
  <si>
    <t>FIADA</t>
  </si>
  <si>
    <t>Face 3 (em cima)</t>
  </si>
  <si>
    <t>Vergalhão trecho 1</t>
  </si>
  <si>
    <t>Vergalhão trecho 2</t>
  </si>
  <si>
    <t>Vergalhão trecho 3</t>
  </si>
  <si>
    <t>Vão entre muros</t>
  </si>
  <si>
    <t>Entre muros</t>
  </si>
  <si>
    <t>TRECHO 2</t>
  </si>
  <si>
    <t>Bloco 1, 2 e 3</t>
  </si>
  <si>
    <t>Bloco 1,2 e 3</t>
  </si>
  <si>
    <t>Bloco 1, 2 e 3 (terra)</t>
  </si>
  <si>
    <t>Bloco 1, 2 e 3 - 8.0mm</t>
  </si>
  <si>
    <t>Viga Baldrame12,5mm</t>
  </si>
  <si>
    <t>TRECHO 3</t>
  </si>
  <si>
    <t>Trecho 3 - muro de arrimo - Extensão 1,5 m - Altura 2,10 m</t>
  </si>
  <si>
    <t>Bloco - 8.0mm</t>
  </si>
  <si>
    <t>Viga</t>
  </si>
  <si>
    <t>TRECHO 4</t>
  </si>
  <si>
    <t>Trecho 4 - muro de arrimo - Extensão 4,48 m - Altura 1,8 m</t>
  </si>
  <si>
    <t>Vergalhão 10mm</t>
  </si>
  <si>
    <t>TRECHO 5</t>
  </si>
  <si>
    <t>Trecho 5 - muro de arrimo - Extensão 3,00 m - Altura 1,6 m</t>
  </si>
  <si>
    <t xml:space="preserve">Bloco 1 e 2 </t>
  </si>
  <si>
    <t>Bloco 1 e 2</t>
  </si>
  <si>
    <t>Bloco 1 e 2 (terra)</t>
  </si>
  <si>
    <t>Bloco 1 e 2 - 8.0mm</t>
  </si>
  <si>
    <t>CALÇADAS</t>
  </si>
  <si>
    <t>07.11.020</t>
  </si>
  <si>
    <t>Área externa</t>
  </si>
  <si>
    <t>HIDRÁULICA</t>
  </si>
  <si>
    <t>45.01.020</t>
  </si>
  <si>
    <t>COMPLEMENTARES</t>
  </si>
  <si>
    <t>TABELA DESONERADA</t>
  </si>
  <si>
    <t>PLANILHA DE COMPOSIÇÃO - ADMINISTRAÇÃO LOCAL</t>
  </si>
  <si>
    <t>CÓD.</t>
  </si>
  <si>
    <t>DESCRIÇÃO</t>
  </si>
  <si>
    <t>UND.</t>
  </si>
  <si>
    <t>QUANT.</t>
  </si>
  <si>
    <t>SALÁRIO/HORA</t>
  </si>
  <si>
    <t>CUSTO TOTAL</t>
  </si>
  <si>
    <t>1.0</t>
  </si>
  <si>
    <t>EQUIPE TÉCNICA</t>
  </si>
  <si>
    <t>90778 SINAPI</t>
  </si>
  <si>
    <t>ENGENHEIRO CIVIL DE OBRA PLENO COM ENCARGOS COMPLEMENTARES</t>
  </si>
  <si>
    <t>H</t>
  </si>
  <si>
    <t>1.2</t>
  </si>
  <si>
    <t xml:space="preserve">90776  SINAPI </t>
  </si>
  <si>
    <t>ENCARREGADO GERAL COM ENCARGOS COMPLEMENTARES</t>
  </si>
  <si>
    <r>
      <rPr>
        <b/>
        <sz val="14"/>
        <color indexed="8"/>
        <rFont val="Arial"/>
        <family val="2"/>
      </rPr>
      <t xml:space="preserve">Permanência do engenheiro na obra: </t>
    </r>
    <r>
      <rPr>
        <sz val="14"/>
        <color indexed="8"/>
        <rFont val="Arial"/>
        <family val="2"/>
      </rPr>
      <t>4 horas por mês x 4 meses = 16 horas</t>
    </r>
  </si>
  <si>
    <r>
      <rPr>
        <b/>
        <sz val="14"/>
        <color indexed="8"/>
        <rFont val="Arial"/>
        <family val="2"/>
      </rPr>
      <t xml:space="preserve">Permanência do encarregado na obra: </t>
    </r>
    <r>
      <rPr>
        <sz val="14"/>
        <color indexed="8"/>
        <rFont val="Arial"/>
        <family val="2"/>
      </rPr>
      <t>40 horas por mês x 4 meses = 160 horas</t>
    </r>
  </si>
  <si>
    <t>BASE ORÇAMENTÁRIA</t>
  </si>
  <si>
    <t xml:space="preserve">FONTES: </t>
  </si>
  <si>
    <t xml:space="preserve">LEIS SOCIAIS = 97,78%      </t>
  </si>
  <si>
    <t xml:space="preserve">CDHU: 186 (DESONERADO) </t>
  </si>
  <si>
    <t>PREÇO TOTAL</t>
  </si>
  <si>
    <t>TOTAL SEM BDI</t>
  </si>
  <si>
    <t>Tubo de PVC rígido soldável marrom, DN= 25 mm, (3/4´), inclusive conexões</t>
  </si>
  <si>
    <t>46.01.020</t>
  </si>
  <si>
    <t>Entrada completa de água com abrigo e registro de gaveta, DN= 3/4´ - execução do abrigo e cavalete</t>
  </si>
  <si>
    <t xml:space="preserve">Placa de identificação para obra 2,40m x 1,20m  </t>
  </si>
  <si>
    <t xml:space="preserve">Face 1 </t>
  </si>
  <si>
    <t>Face 2 (mureta externo)</t>
  </si>
  <si>
    <t>Vergalhão trecho 1 (6,3mm)</t>
  </si>
  <si>
    <t>Vergalhão trecho 2 (8,00mm)</t>
  </si>
  <si>
    <t>Vergalhão trecho 3 (8,00mm)</t>
  </si>
  <si>
    <t>32.16.010</t>
  </si>
  <si>
    <t>Impermeabilização em pintura de asfalto oxidado com solventes orgânicos,
sobre massa</t>
  </si>
  <si>
    <t>Locação de vias, calçadas, tanques e lagoas</t>
  </si>
  <si>
    <t xml:space="preserve">Forma em madeira comum para estrutura </t>
  </si>
  <si>
    <t>Calçada externa</t>
  </si>
  <si>
    <t>Trecho 1 (interno)</t>
  </si>
  <si>
    <t>Trecho 2 (interno)</t>
  </si>
  <si>
    <t>Trecho 3 (interno)</t>
  </si>
  <si>
    <t>Trecho 4 (interno)</t>
  </si>
  <si>
    <t>Trecho 5 (interno)</t>
  </si>
  <si>
    <t>Frente</t>
  </si>
  <si>
    <t>Lateral</t>
  </si>
  <si>
    <t>11.18.060</t>
  </si>
  <si>
    <t>Lona plástica</t>
  </si>
  <si>
    <t>2.8</t>
  </si>
  <si>
    <t>2.9</t>
  </si>
  <si>
    <t>08.01.060</t>
  </si>
  <si>
    <t>Escoramento de solo pontaletado</t>
  </si>
  <si>
    <t>2.10</t>
  </si>
  <si>
    <r>
      <t xml:space="preserve">FONTE DE CUSTO: </t>
    </r>
    <r>
      <rPr>
        <sz val="14"/>
        <color indexed="8"/>
        <rFont val="Arial"/>
        <family val="2"/>
      </rPr>
      <t>SINAPI : MAIO/2021</t>
    </r>
  </si>
  <si>
    <t>02.10.060</t>
  </si>
  <si>
    <t xml:space="preserve">Regularização, compactação e preparo de fundo de base/vala </t>
  </si>
  <si>
    <t xml:space="preserve">Lastro de pedra britada - 3cm </t>
  </si>
  <si>
    <t>M2</t>
  </si>
  <si>
    <t>M3</t>
  </si>
  <si>
    <t>Execução de passeio (calçada) ou piso de concreto in loco, feito em obra, acabamento convencional, não armado - 6cm</t>
  </si>
  <si>
    <t>10.4</t>
  </si>
  <si>
    <t>10.5</t>
  </si>
  <si>
    <t>Impermeabilização em argamassa impermeável com aditivo hidrófugo</t>
  </si>
  <si>
    <t>Pilar do Sul-SP, 18 de agosto de 2022.</t>
  </si>
  <si>
    <t xml:space="preserve">SINAPI  - DATA BASE: 08/2022 (DESONERADO)    </t>
  </si>
  <si>
    <t>Guarda‐corpo tubular com tela em aço galvanizado, diâmetro de 1 1/2´</t>
  </si>
  <si>
    <t>24.03.040</t>
  </si>
  <si>
    <t>33.11.050</t>
  </si>
  <si>
    <t>Esmalte à base água em superfície metálica, inclusive preparo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</si>
</sst>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&quot;R$ &quot;#,##0.00"/>
    <numFmt numFmtId="166" formatCode="_-&quot;R$ &quot;* #,##0.00_-;&quot;-R$ &quot;* #,##0.00_-;_-&quot;R$ &quot;* \-??_-;_-@_-"/>
    <numFmt numFmtId="167" formatCode="_(&quot;R$ &quot;* #,##0.00_);_(&quot;R$ &quot;* \(#,##0.00\);_(&quot;R$ &quot;* \-??_);_(@_)"/>
    <numFmt numFmtId="168" formatCode="_-* #,##0.00_-;\-* #,##0.00_-;_-* \-??_-;_-@_-"/>
    <numFmt numFmtId="169" formatCode="0.000"/>
    <numFmt numFmtId="170" formatCode="0.0"/>
    <numFmt numFmtId="171" formatCode="0.0000%"/>
    <numFmt numFmtId="172" formatCode="&quot;R$ &quot;#,##0.000"/>
    <numFmt numFmtId="173" formatCode="[$R$-416]\ #,##0.00;[Red]\-[$R$-416]\ #,##0.00"/>
    <numFmt numFmtId="174" formatCode="[$-416]dddd\,\ d&quot; de &quot;mmmm&quot; de &quot;yyyy"/>
    <numFmt numFmtId="175" formatCode="&quot;R$&quot;\ #,##0.00"/>
    <numFmt numFmtId="176" formatCode="&quot;R$&quot;\ #,##0.000"/>
    <numFmt numFmtId="177" formatCode="&quot;R$&quot;\ #,##0.0"/>
    <numFmt numFmtId="178" formatCode="0.0%"/>
    <numFmt numFmtId="179" formatCode="dd/mm/yy"/>
    <numFmt numFmtId="180" formatCode="0.000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4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3"/>
      <color rgb="FF000000"/>
      <name val="Arial"/>
      <family val="2"/>
    </font>
    <font>
      <b/>
      <sz val="13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53" fillId="29" borderId="1" applyNumberFormat="0" applyAlignment="0" applyProtection="0"/>
    <xf numFmtId="0" fontId="54" fillId="30" borderId="0" applyNumberFormat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6" fillId="21" borderId="5" applyNumberFormat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64" fontId="0" fillId="0" borderId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2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56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/>
    </xf>
    <xf numFmtId="0" fontId="6" fillId="0" borderId="0" xfId="56" applyFont="1" applyFill="1" applyBorder="1" applyAlignment="1">
      <alignment/>
      <protection/>
    </xf>
    <xf numFmtId="0" fontId="6" fillId="33" borderId="11" xfId="56" applyFont="1" applyFill="1" applyBorder="1" applyAlignment="1">
      <alignment/>
      <protection/>
    </xf>
    <xf numFmtId="0" fontId="5" fillId="0" borderId="0" xfId="0" applyFont="1" applyBorder="1" applyAlignment="1">
      <alignment/>
    </xf>
    <xf numFmtId="0" fontId="6" fillId="33" borderId="12" xfId="56" applyFont="1" applyFill="1" applyBorder="1" applyAlignment="1">
      <alignment/>
      <protection/>
    </xf>
    <xf numFmtId="0" fontId="8" fillId="0" borderId="0" xfId="56" applyFont="1">
      <alignment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center" vertical="center"/>
      <protection/>
    </xf>
    <xf numFmtId="173" fontId="8" fillId="0" borderId="10" xfId="56" applyNumberFormat="1" applyFont="1" applyFill="1" applyBorder="1" applyAlignment="1">
      <alignment horizontal="center" vertical="center" wrapText="1"/>
      <protection/>
    </xf>
    <xf numFmtId="173" fontId="6" fillId="33" borderId="13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/>
      <protection/>
    </xf>
    <xf numFmtId="173" fontId="6" fillId="0" borderId="0" xfId="56" applyNumberFormat="1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vertical="center"/>
    </xf>
    <xf numFmtId="2" fontId="64" fillId="0" borderId="14" xfId="0" applyNumberFormat="1" applyFont="1" applyFill="1" applyBorder="1" applyAlignment="1">
      <alignment horizontal="center" vertical="center"/>
    </xf>
    <xf numFmtId="0" fontId="64" fillId="0" borderId="14" xfId="56" applyFont="1" applyFill="1" applyBorder="1" applyAlignment="1">
      <alignment horizontal="center" vertical="center" wrapText="1"/>
      <protection/>
    </xf>
    <xf numFmtId="0" fontId="64" fillId="0" borderId="14" xfId="0" applyFont="1" applyFill="1" applyBorder="1" applyAlignment="1">
      <alignment vertical="center" wrapText="1"/>
    </xf>
    <xf numFmtId="0" fontId="64" fillId="0" borderId="14" xfId="56" applyFont="1" applyFill="1" applyBorder="1" applyAlignment="1">
      <alignment horizontal="left" vertical="center" wrapText="1"/>
      <protection/>
    </xf>
    <xf numFmtId="0" fontId="64" fillId="0" borderId="1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left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vertical="center"/>
    </xf>
    <xf numFmtId="3" fontId="64" fillId="0" borderId="14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2" fontId="64" fillId="0" borderId="0" xfId="0" applyNumberFormat="1" applyFont="1" applyFill="1" applyBorder="1" applyAlignment="1">
      <alignment horizontal="center" vertical="center"/>
    </xf>
    <xf numFmtId="2" fontId="66" fillId="0" borderId="0" xfId="0" applyNumberFormat="1" applyFont="1" applyFill="1" applyBorder="1" applyAlignment="1">
      <alignment horizontal="right" vertical="center"/>
    </xf>
    <xf numFmtId="2" fontId="66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165" fontId="67" fillId="0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2" fontId="64" fillId="0" borderId="0" xfId="0" applyNumberFormat="1" applyFont="1" applyFill="1" applyBorder="1" applyAlignment="1">
      <alignment horizontal="right" vertical="center"/>
    </xf>
    <xf numFmtId="2" fontId="68" fillId="0" borderId="0" xfId="0" applyNumberFormat="1" applyFont="1" applyFill="1" applyBorder="1" applyAlignment="1">
      <alignment horizontal="right" vertical="center"/>
    </xf>
    <xf numFmtId="2" fontId="70" fillId="0" borderId="0" xfId="0" applyNumberFormat="1" applyFont="1" applyFill="1" applyBorder="1" applyAlignment="1">
      <alignment horizontal="right" vertical="center"/>
    </xf>
    <xf numFmtId="165" fontId="64" fillId="0" borderId="0" xfId="0" applyNumberFormat="1" applyFont="1" applyFill="1" applyBorder="1" applyAlignment="1">
      <alignment horizontal="center" vertical="center"/>
    </xf>
    <xf numFmtId="175" fontId="64" fillId="0" borderId="14" xfId="0" applyNumberFormat="1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164" fontId="21" fillId="0" borderId="14" xfId="54" applyNumberFormat="1" applyFont="1" applyFill="1" applyBorder="1" applyAlignment="1" applyProtection="1">
      <alignment horizontal="center" vertical="center"/>
      <protection/>
    </xf>
    <xf numFmtId="2" fontId="9" fillId="0" borderId="14" xfId="54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2" fontId="21" fillId="0" borderId="14" xfId="0" applyNumberFormat="1" applyFont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34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22" fillId="35" borderId="14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vertical="center" wrapText="1"/>
    </xf>
    <xf numFmtId="164" fontId="22" fillId="35" borderId="14" xfId="54" applyNumberFormat="1" applyFont="1" applyFill="1" applyBorder="1" applyAlignment="1" applyProtection="1">
      <alignment horizontal="center" vertical="center"/>
      <protection/>
    </xf>
    <xf numFmtId="0" fontId="10" fillId="35" borderId="14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vertical="center"/>
    </xf>
    <xf numFmtId="2" fontId="10" fillId="35" borderId="14" xfId="0" applyNumberFormat="1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 vertical="center"/>
    </xf>
    <xf numFmtId="169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1" fontId="9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164" fontId="22" fillId="0" borderId="14" xfId="54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2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2" fontId="10" fillId="34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left" vertical="center" indent="4"/>
    </xf>
    <xf numFmtId="1" fontId="9" fillId="0" borderId="14" xfId="0" applyNumberFormat="1" applyFont="1" applyFill="1" applyBorder="1" applyAlignment="1">
      <alignment horizontal="center" vertical="center"/>
    </xf>
    <xf numFmtId="170" fontId="9" fillId="0" borderId="14" xfId="0" applyNumberFormat="1" applyFont="1" applyFill="1" applyBorder="1" applyAlignment="1">
      <alignment horizontal="center" vertical="center"/>
    </xf>
    <xf numFmtId="170" fontId="9" fillId="0" borderId="14" xfId="0" applyNumberFormat="1" applyFont="1" applyBorder="1" applyAlignment="1">
      <alignment horizontal="center" vertical="center"/>
    </xf>
    <xf numFmtId="170" fontId="10" fillId="0" borderId="14" xfId="0" applyNumberFormat="1" applyFont="1" applyFill="1" applyBorder="1" applyAlignment="1">
      <alignment horizontal="center" vertical="center"/>
    </xf>
    <xf numFmtId="2" fontId="10" fillId="0" borderId="14" xfId="54" applyNumberFormat="1" applyFont="1" applyFill="1" applyBorder="1" applyAlignment="1" applyProtection="1">
      <alignment horizontal="center" vertical="center"/>
      <protection/>
    </xf>
    <xf numFmtId="2" fontId="22" fillId="34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vertical="center" wrapText="1"/>
    </xf>
    <xf numFmtId="0" fontId="65" fillId="0" borderId="14" xfId="0" applyFont="1" applyBorder="1" applyAlignment="1">
      <alignment horizontal="center" vertical="center"/>
    </xf>
    <xf numFmtId="2" fontId="65" fillId="0" borderId="14" xfId="0" applyNumberFormat="1" applyFont="1" applyBorder="1" applyAlignment="1">
      <alignment horizontal="center" vertical="center"/>
    </xf>
    <xf numFmtId="0" fontId="67" fillId="0" borderId="0" xfId="0" applyFont="1" applyFill="1" applyAlignment="1">
      <alignment/>
    </xf>
    <xf numFmtId="0" fontId="71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/>
    </xf>
    <xf numFmtId="0" fontId="72" fillId="0" borderId="14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164" fontId="21" fillId="0" borderId="15" xfId="54" applyNumberFormat="1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164" fontId="21" fillId="0" borderId="17" xfId="54" applyNumberFormat="1" applyFont="1" applyFill="1" applyBorder="1" applyAlignment="1" applyProtection="1">
      <alignment horizontal="center" vertical="center"/>
      <protection/>
    </xf>
    <xf numFmtId="164" fontId="21" fillId="0" borderId="18" xfId="54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2" fontId="9" fillId="36" borderId="23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2" fontId="9" fillId="36" borderId="24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2" fillId="0" borderId="17" xfId="56" applyFont="1" applyFill="1" applyBorder="1" applyAlignment="1">
      <alignment horizontal="center" vertical="center" wrapText="1"/>
      <protection/>
    </xf>
    <xf numFmtId="0" fontId="21" fillId="0" borderId="17" xfId="0" applyFont="1" applyFill="1" applyBorder="1" applyAlignment="1">
      <alignment vertical="center" wrapText="1"/>
    </xf>
    <xf numFmtId="2" fontId="10" fillId="0" borderId="20" xfId="0" applyNumberFormat="1" applyFont="1" applyBorder="1" applyAlignment="1">
      <alignment horizontal="center" vertical="center"/>
    </xf>
    <xf numFmtId="0" fontId="22" fillId="0" borderId="17" xfId="56" applyFont="1" applyFill="1" applyBorder="1" applyAlignment="1">
      <alignment horizontal="left" vertical="center" wrapText="1"/>
      <protection/>
    </xf>
    <xf numFmtId="2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 wrapText="1"/>
    </xf>
    <xf numFmtId="2" fontId="9" fillId="0" borderId="22" xfId="54" applyNumberFormat="1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>
      <alignment horizontal="center" vertical="center"/>
    </xf>
    <xf numFmtId="164" fontId="21" fillId="0" borderId="26" xfId="54" applyNumberFormat="1" applyFont="1" applyFill="1" applyBorder="1" applyAlignment="1" applyProtection="1">
      <alignment horizontal="center" vertical="center"/>
      <protection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vertical="center"/>
    </xf>
    <xf numFmtId="164" fontId="21" fillId="33" borderId="28" xfId="54" applyNumberFormat="1" applyFont="1" applyFill="1" applyBorder="1" applyAlignment="1" applyProtection="1">
      <alignment horizontal="center" vertical="center" wrapText="1"/>
      <protection/>
    </xf>
    <xf numFmtId="164" fontId="9" fillId="33" borderId="28" xfId="54" applyNumberFormat="1" applyFont="1" applyFill="1" applyBorder="1" applyAlignment="1" applyProtection="1">
      <alignment horizontal="center" vertical="center"/>
      <protection/>
    </xf>
    <xf numFmtId="164" fontId="9" fillId="33" borderId="29" xfId="54" applyNumberFormat="1" applyFont="1" applyFill="1" applyBorder="1" applyAlignment="1" applyProtection="1">
      <alignment horizontal="center" vertical="center"/>
      <protection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vertical="center"/>
    </xf>
    <xf numFmtId="164" fontId="9" fillId="33" borderId="17" xfId="54" applyNumberFormat="1" applyFont="1" applyFill="1" applyBorder="1" applyAlignment="1" applyProtection="1">
      <alignment horizontal="center" vertical="center" wrapText="1"/>
      <protection/>
    </xf>
    <xf numFmtId="164" fontId="9" fillId="33" borderId="17" xfId="54" applyNumberFormat="1" applyFont="1" applyFill="1" applyBorder="1" applyAlignment="1" applyProtection="1">
      <alignment horizontal="center" vertical="center"/>
      <protection/>
    </xf>
    <xf numFmtId="164" fontId="9" fillId="33" borderId="18" xfId="54" applyNumberFormat="1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>
      <alignment horizontal="center" vertical="center"/>
    </xf>
    <xf numFmtId="164" fontId="21" fillId="0" borderId="31" xfId="54" applyNumberFormat="1" applyFont="1" applyFill="1" applyBorder="1" applyAlignment="1" applyProtection="1">
      <alignment horizontal="center" vertical="center"/>
      <protection/>
    </xf>
    <xf numFmtId="2" fontId="9" fillId="0" borderId="20" xfId="54" applyNumberFormat="1" applyFont="1" applyFill="1" applyBorder="1" applyAlignment="1" applyProtection="1">
      <alignment horizontal="center" vertical="center"/>
      <protection/>
    </xf>
    <xf numFmtId="0" fontId="22" fillId="33" borderId="28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2" fontId="9" fillId="37" borderId="23" xfId="0" applyNumberFormat="1" applyFont="1" applyFill="1" applyBorder="1" applyAlignment="1">
      <alignment horizontal="center" vertical="center"/>
    </xf>
    <xf numFmtId="2" fontId="21" fillId="36" borderId="23" xfId="54" applyNumberFormat="1" applyFont="1" applyFill="1" applyBorder="1" applyAlignment="1" applyProtection="1">
      <alignment horizontal="center" vertical="center"/>
      <protection/>
    </xf>
    <xf numFmtId="0" fontId="21" fillId="36" borderId="24" xfId="0" applyFont="1" applyFill="1" applyBorder="1" applyAlignment="1">
      <alignment horizontal="center" vertical="center"/>
    </xf>
    <xf numFmtId="2" fontId="21" fillId="36" borderId="23" xfId="0" applyNumberFormat="1" applyFont="1" applyFill="1" applyBorder="1" applyAlignment="1">
      <alignment horizontal="center" vertical="center"/>
    </xf>
    <xf numFmtId="2" fontId="21" fillId="36" borderId="24" xfId="0" applyNumberFormat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2" fontId="9" fillId="37" borderId="24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vertical="center" wrapText="1"/>
    </xf>
    <xf numFmtId="164" fontId="22" fillId="35" borderId="17" xfId="54" applyNumberFormat="1" applyFont="1" applyFill="1" applyBorder="1" applyAlignment="1" applyProtection="1">
      <alignment horizontal="center" vertical="center"/>
      <protection/>
    </xf>
    <xf numFmtId="0" fontId="22" fillId="35" borderId="18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2" fontId="10" fillId="35" borderId="31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34" borderId="23" xfId="0" applyNumberFormat="1" applyFont="1" applyFill="1" applyBorder="1" applyAlignment="1">
      <alignment horizontal="center" vertical="center"/>
    </xf>
    <xf numFmtId="2" fontId="9" fillId="0" borderId="3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2" fontId="9" fillId="34" borderId="2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169" fontId="9" fillId="0" borderId="20" xfId="0" applyNumberFormat="1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2" fontId="10" fillId="0" borderId="31" xfId="0" applyNumberFormat="1" applyFont="1" applyFill="1" applyBorder="1" applyAlignment="1">
      <alignment horizontal="center" vertical="center"/>
    </xf>
    <xf numFmtId="2" fontId="10" fillId="38" borderId="14" xfId="0" applyNumberFormat="1" applyFont="1" applyFill="1" applyBorder="1" applyAlignment="1">
      <alignment horizontal="center" vertical="center"/>
    </xf>
    <xf numFmtId="2" fontId="9" fillId="38" borderId="14" xfId="0" applyNumberFormat="1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left" vertical="center" wrapText="1"/>
    </xf>
    <xf numFmtId="4" fontId="73" fillId="0" borderId="14" xfId="56" applyNumberFormat="1" applyFont="1" applyBorder="1" applyAlignment="1">
      <alignment horizontal="center" vertical="center" wrapText="1"/>
      <protection/>
    </xf>
    <xf numFmtId="0" fontId="73" fillId="0" borderId="14" xfId="56" applyFont="1" applyBorder="1" applyAlignment="1">
      <alignment horizontal="center" vertical="center" wrapText="1"/>
      <protection/>
    </xf>
    <xf numFmtId="4" fontId="73" fillId="0" borderId="14" xfId="56" applyNumberFormat="1" applyFont="1" applyFill="1" applyBorder="1" applyAlignment="1">
      <alignment horizontal="center" vertical="center" wrapText="1"/>
      <protection/>
    </xf>
    <xf numFmtId="0" fontId="73" fillId="0" borderId="14" xfId="56" applyNumberFormat="1" applyFont="1" applyFill="1" applyBorder="1" applyAlignment="1">
      <alignment horizontal="center" vertical="center" wrapText="1"/>
      <protection/>
    </xf>
    <xf numFmtId="4" fontId="73" fillId="0" borderId="14" xfId="56" applyNumberFormat="1" applyFont="1" applyFill="1" applyBorder="1" applyAlignment="1">
      <alignment horizontal="left" vertical="center" wrapText="1"/>
      <protection/>
    </xf>
    <xf numFmtId="0" fontId="73" fillId="0" borderId="14" xfId="56" applyFont="1" applyFill="1" applyBorder="1" applyAlignment="1">
      <alignment horizontal="left" vertical="center" wrapText="1"/>
      <protection/>
    </xf>
    <xf numFmtId="0" fontId="73" fillId="0" borderId="14" xfId="56" applyFont="1" applyFill="1" applyBorder="1" applyAlignment="1">
      <alignment vertical="center" wrapText="1"/>
      <protection/>
    </xf>
    <xf numFmtId="0" fontId="74" fillId="0" borderId="14" xfId="56" applyFont="1" applyBorder="1" applyAlignment="1">
      <alignment horizontal="center" vertical="center" wrapText="1"/>
      <protection/>
    </xf>
    <xf numFmtId="0" fontId="74" fillId="0" borderId="14" xfId="56" applyFont="1" applyFill="1" applyBorder="1" applyAlignment="1">
      <alignment vertical="center" wrapText="1"/>
      <protection/>
    </xf>
    <xf numFmtId="4" fontId="75" fillId="0" borderId="14" xfId="56" applyNumberFormat="1" applyFont="1" applyBorder="1" applyAlignment="1">
      <alignment horizontal="center" vertical="center" wrapText="1"/>
      <protection/>
    </xf>
    <xf numFmtId="2" fontId="76" fillId="39" borderId="15" xfId="0" applyNumberFormat="1" applyFont="1" applyFill="1" applyBorder="1" applyAlignment="1">
      <alignment horizontal="center" vertical="center" wrapText="1"/>
    </xf>
    <xf numFmtId="175" fontId="64" fillId="0" borderId="14" xfId="46" applyNumberFormat="1" applyFont="1" applyFill="1" applyBorder="1" applyAlignment="1" applyProtection="1">
      <alignment horizontal="right" vertical="center" wrapText="1"/>
      <protection/>
    </xf>
    <xf numFmtId="175" fontId="64" fillId="0" borderId="14" xfId="0" applyNumberFormat="1" applyFont="1" applyFill="1" applyBorder="1" applyAlignment="1">
      <alignment horizontal="right" vertical="center" wrapText="1"/>
    </xf>
    <xf numFmtId="175" fontId="64" fillId="0" borderId="14" xfId="0" applyNumberFormat="1" applyFont="1" applyFill="1" applyBorder="1" applyAlignment="1">
      <alignment horizontal="right" vertical="center"/>
    </xf>
    <xf numFmtId="175" fontId="73" fillId="0" borderId="14" xfId="56" applyNumberFormat="1" applyFont="1" applyFill="1" applyBorder="1" applyAlignment="1">
      <alignment horizontal="right" vertical="center" wrapText="1"/>
      <protection/>
    </xf>
    <xf numFmtId="173" fontId="8" fillId="40" borderId="10" xfId="56" applyNumberFormat="1" applyFont="1" applyFill="1" applyBorder="1" applyAlignment="1">
      <alignment horizontal="center" vertical="center" wrapText="1"/>
      <protection/>
    </xf>
    <xf numFmtId="0" fontId="66" fillId="41" borderId="14" xfId="0" applyFont="1" applyFill="1" applyBorder="1" applyAlignment="1">
      <alignment horizontal="center" vertical="center"/>
    </xf>
    <xf numFmtId="0" fontId="66" fillId="41" borderId="14" xfId="0" applyFont="1" applyFill="1" applyBorder="1" applyAlignment="1">
      <alignment horizontal="center" vertical="center" wrapText="1"/>
    </xf>
    <xf numFmtId="0" fontId="66" fillId="41" borderId="14" xfId="0" applyFont="1" applyFill="1" applyBorder="1" applyAlignment="1">
      <alignment vertical="center"/>
    </xf>
    <xf numFmtId="165" fontId="66" fillId="41" borderId="14" xfId="0" applyNumberFormat="1" applyFont="1" applyFill="1" applyBorder="1" applyAlignment="1">
      <alignment horizontal="center" vertical="center" wrapText="1"/>
    </xf>
    <xf numFmtId="175" fontId="66" fillId="41" borderId="14" xfId="0" applyNumberFormat="1" applyFont="1" applyFill="1" applyBorder="1" applyAlignment="1">
      <alignment horizontal="right" vertical="center"/>
    </xf>
    <xf numFmtId="175" fontId="66" fillId="41" borderId="14" xfId="0" applyNumberFormat="1" applyFont="1" applyFill="1" applyBorder="1" applyAlignment="1">
      <alignment horizontal="right" vertical="center" wrapText="1"/>
    </xf>
    <xf numFmtId="0" fontId="64" fillId="41" borderId="14" xfId="0" applyFont="1" applyFill="1" applyBorder="1" applyAlignment="1">
      <alignment horizontal="center" vertical="center"/>
    </xf>
    <xf numFmtId="175" fontId="64" fillId="41" borderId="14" xfId="0" applyNumberFormat="1" applyFont="1" applyFill="1" applyBorder="1" applyAlignment="1">
      <alignment horizontal="right" vertical="center"/>
    </xf>
    <xf numFmtId="2" fontId="64" fillId="41" borderId="14" xfId="0" applyNumberFormat="1" applyFont="1" applyFill="1" applyBorder="1" applyAlignment="1">
      <alignment horizontal="center" vertical="center"/>
    </xf>
    <xf numFmtId="165" fontId="66" fillId="39" borderId="14" xfId="0" applyNumberFormat="1" applyFont="1" applyFill="1" applyBorder="1" applyAlignment="1">
      <alignment horizontal="center" vertical="center"/>
    </xf>
    <xf numFmtId="175" fontId="64" fillId="0" borderId="14" xfId="0" applyNumberFormat="1" applyFont="1" applyFill="1" applyBorder="1" applyAlignment="1">
      <alignment horizontal="right" wrapText="1"/>
    </xf>
    <xf numFmtId="2" fontId="21" fillId="0" borderId="15" xfId="0" applyNumberFormat="1" applyFont="1" applyBorder="1" applyAlignment="1">
      <alignment horizontal="center" vertical="center"/>
    </xf>
    <xf numFmtId="2" fontId="21" fillId="0" borderId="18" xfId="0" applyNumberFormat="1" applyFont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vertical="center" wrapText="1"/>
    </xf>
    <xf numFmtId="2" fontId="64" fillId="0" borderId="14" xfId="0" applyNumberFormat="1" applyFont="1" applyFill="1" applyBorder="1" applyAlignment="1">
      <alignment horizontal="center" vertical="center"/>
    </xf>
    <xf numFmtId="175" fontId="64" fillId="0" borderId="14" xfId="0" applyNumberFormat="1" applyFont="1" applyFill="1" applyBorder="1" applyAlignment="1">
      <alignment horizontal="right" vertical="center"/>
    </xf>
    <xf numFmtId="175" fontId="64" fillId="0" borderId="14" xfId="0" applyNumberFormat="1" applyFont="1" applyFill="1" applyBorder="1" applyAlignment="1">
      <alignment horizontal="right" vertical="center" wrapText="1"/>
    </xf>
    <xf numFmtId="0" fontId="3" fillId="42" borderId="14" xfId="0" applyFont="1" applyFill="1" applyBorder="1" applyAlignment="1">
      <alignment horizontal="center" vertical="center"/>
    </xf>
    <xf numFmtId="0" fontId="73" fillId="42" borderId="14" xfId="0" applyFont="1" applyFill="1" applyBorder="1" applyAlignment="1">
      <alignment horizontal="center" vertical="center"/>
    </xf>
    <xf numFmtId="0" fontId="73" fillId="42" borderId="14" xfId="0" applyFont="1" applyFill="1" applyBorder="1" applyAlignment="1">
      <alignment vertical="center" wrapText="1"/>
    </xf>
    <xf numFmtId="0" fontId="73" fillId="42" borderId="14" xfId="0" applyFont="1" applyFill="1" applyBorder="1" applyAlignment="1">
      <alignment horizontal="center" vertical="center" wrapText="1"/>
    </xf>
    <xf numFmtId="175" fontId="73" fillId="42" borderId="14" xfId="0" applyNumberFormat="1" applyFont="1" applyFill="1" applyBorder="1" applyAlignment="1">
      <alignment vertical="center" wrapText="1"/>
    </xf>
    <xf numFmtId="0" fontId="77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66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167" fontId="68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43" borderId="32" xfId="0" applyFont="1" applyFill="1" applyBorder="1" applyAlignment="1">
      <alignment horizontal="center" vertical="center"/>
    </xf>
    <xf numFmtId="0" fontId="5" fillId="43" borderId="33" xfId="0" applyFont="1" applyFill="1" applyBorder="1" applyAlignment="1">
      <alignment horizontal="center" vertical="center"/>
    </xf>
    <xf numFmtId="0" fontId="5" fillId="43" borderId="34" xfId="0" applyFont="1" applyFill="1" applyBorder="1" applyAlignment="1">
      <alignment horizontal="center" vertical="center"/>
    </xf>
    <xf numFmtId="0" fontId="5" fillId="4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9" fillId="44" borderId="14" xfId="0" applyFont="1" applyFill="1" applyBorder="1" applyAlignment="1">
      <alignment horizontal="center" vertical="center"/>
    </xf>
    <xf numFmtId="0" fontId="6" fillId="45" borderId="10" xfId="56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left" vertical="center" wrapText="1"/>
      <protection/>
    </xf>
    <xf numFmtId="0" fontId="6" fillId="33" borderId="13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79" fillId="0" borderId="0" xfId="0" applyFont="1" applyFill="1" applyAlignment="1">
      <alignment/>
    </xf>
    <xf numFmtId="2" fontId="79" fillId="0" borderId="0" xfId="0" applyNumberFormat="1" applyFont="1" applyFill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Ênfase6 9 2" xfId="43"/>
    <cellStyle name="Entrada" xfId="44"/>
    <cellStyle name="Incorreto" xfId="45"/>
    <cellStyle name="Currency" xfId="46"/>
    <cellStyle name="Currency [0]" xfId="47"/>
    <cellStyle name="Neutra" xfId="48"/>
    <cellStyle name="Normal 16" xfId="49"/>
    <cellStyle name="Normal 27" xfId="50"/>
    <cellStyle name="Nota" xfId="51"/>
    <cellStyle name="Percent" xfId="52"/>
    <cellStyle name="Saída" xfId="53"/>
    <cellStyle name="Comma" xfId="54"/>
    <cellStyle name="Comma [0]" xfId="55"/>
    <cellStyle name="Separador de milhares 14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Vírgula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8</xdr:col>
      <xdr:colOff>1095375</xdr:colOff>
      <xdr:row>3</xdr:row>
      <xdr:rowOff>352425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57150"/>
          <a:ext cx="1227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2714625</xdr:colOff>
      <xdr:row>221</xdr:row>
      <xdr:rowOff>0</xdr:rowOff>
    </xdr:from>
    <xdr:ext cx="4019550" cy="714375"/>
    <xdr:sp>
      <xdr:nvSpPr>
        <xdr:cNvPr id="2" name="CustomShape 1"/>
        <xdr:cNvSpPr>
          <a:spLocks/>
        </xdr:cNvSpPr>
      </xdr:nvSpPr>
      <xdr:spPr>
        <a:xfrm>
          <a:off x="4991100" y="55473600"/>
          <a:ext cx="40195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Eduardo Oliveira dos Santos Junior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de Obras, Infraestrutura e Urbanismo</a:t>
          </a:r>
        </a:p>
      </xdr:txBody>
    </xdr:sp>
    <xdr:clientData/>
  </xdr:oneCellAnchor>
  <xdr:twoCellAnchor>
    <xdr:from>
      <xdr:col>6</xdr:col>
      <xdr:colOff>361950</xdr:colOff>
      <xdr:row>219</xdr:row>
      <xdr:rowOff>209550</xdr:rowOff>
    </xdr:from>
    <xdr:to>
      <xdr:col>10</xdr:col>
      <xdr:colOff>0</xdr:colOff>
      <xdr:row>225</xdr:row>
      <xdr:rowOff>152400</xdr:rowOff>
    </xdr:to>
    <xdr:sp>
      <xdr:nvSpPr>
        <xdr:cNvPr id="3" name="CustomShape 1"/>
        <xdr:cNvSpPr>
          <a:spLocks/>
        </xdr:cNvSpPr>
      </xdr:nvSpPr>
      <xdr:spPr>
        <a:xfrm>
          <a:off x="10458450" y="55292625"/>
          <a:ext cx="47910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Jeferson Roberto Ferreira dos Santos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Técnico em edificações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3</xdr:col>
      <xdr:colOff>4667250</xdr:colOff>
      <xdr:row>220</xdr:row>
      <xdr:rowOff>152400</xdr:rowOff>
    </xdr:from>
    <xdr:to>
      <xdr:col>8</xdr:col>
      <xdr:colOff>666750</xdr:colOff>
      <xdr:row>226</xdr:row>
      <xdr:rowOff>104775</xdr:rowOff>
    </xdr:to>
    <xdr:sp>
      <xdr:nvSpPr>
        <xdr:cNvPr id="4" name="CustomShape 1"/>
        <xdr:cNvSpPr>
          <a:spLocks/>
        </xdr:cNvSpPr>
      </xdr:nvSpPr>
      <xdr:spPr>
        <a:xfrm>
          <a:off x="6943725" y="55464075"/>
          <a:ext cx="62579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Neiviton Pereira da Silva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Técnico em edificações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0</xdr:row>
      <xdr:rowOff>95250</xdr:rowOff>
    </xdr:from>
    <xdr:to>
      <xdr:col>6</xdr:col>
      <xdr:colOff>3057525</xdr:colOff>
      <xdr:row>1</xdr:row>
      <xdr:rowOff>657225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95250"/>
          <a:ext cx="10315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4295775</xdr:colOff>
      <xdr:row>29</xdr:row>
      <xdr:rowOff>57150</xdr:rowOff>
    </xdr:from>
    <xdr:ext cx="4667250" cy="914400"/>
    <xdr:sp>
      <xdr:nvSpPr>
        <xdr:cNvPr id="2" name="CustomShape 1"/>
        <xdr:cNvSpPr>
          <a:spLocks/>
        </xdr:cNvSpPr>
      </xdr:nvSpPr>
      <xdr:spPr>
        <a:xfrm>
          <a:off x="5819775" y="7934325"/>
          <a:ext cx="46672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EDUARDO OLIVEIRA DOS SANTOS JUNIOR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DE OBRAS, INFRAEST. E URBANISMO
</a:t>
          </a:r>
        </a:p>
      </xdr:txBody>
    </xdr:sp>
    <xdr:clientData/>
  </xdr:oneCellAnchor>
  <xdr:twoCellAnchor>
    <xdr:from>
      <xdr:col>5</xdr:col>
      <xdr:colOff>1076325</xdr:colOff>
      <xdr:row>29</xdr:row>
      <xdr:rowOff>95250</xdr:rowOff>
    </xdr:from>
    <xdr:to>
      <xdr:col>7</xdr:col>
      <xdr:colOff>542925</xdr:colOff>
      <xdr:row>37</xdr:row>
      <xdr:rowOff>133350</xdr:rowOff>
    </xdr:to>
    <xdr:sp>
      <xdr:nvSpPr>
        <xdr:cNvPr id="3" name="CustomShape 1"/>
        <xdr:cNvSpPr>
          <a:spLocks/>
        </xdr:cNvSpPr>
      </xdr:nvSpPr>
      <xdr:spPr>
        <a:xfrm>
          <a:off x="9744075" y="7972425"/>
          <a:ext cx="57245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____________________________________________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JEFERSON ROBERTO FERREIRA DOS SANTOS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TÉCNICO EM EDIFICAÇÕES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7"/>
  <sheetViews>
    <sheetView tabSelected="1" zoomScaleSheetLayoutView="85" zoomScalePageLayoutView="0" workbookViewId="0" topLeftCell="A7">
      <selection activeCell="O15" sqref="O15"/>
    </sheetView>
  </sheetViews>
  <sheetFormatPr defaultColWidth="9.00390625" defaultRowHeight="12.75"/>
  <cols>
    <col min="1" max="1" width="9.7109375" style="1" customWidth="1"/>
    <col min="2" max="2" width="10.421875" style="1" customWidth="1"/>
    <col min="3" max="3" width="14.00390625" style="1" customWidth="1"/>
    <col min="4" max="4" width="95.57421875" style="1" customWidth="1"/>
    <col min="5" max="5" width="10.7109375" style="1" customWidth="1"/>
    <col min="6" max="6" width="11.00390625" style="1" customWidth="1"/>
    <col min="7" max="7" width="16.57421875" style="2" bestFit="1" customWidth="1"/>
    <col min="8" max="9" width="20.00390625" style="1" customWidth="1"/>
    <col min="10" max="10" width="20.7109375" style="1" customWidth="1"/>
    <col min="11" max="13" width="0" style="4" hidden="1" customWidth="1"/>
    <col min="14" max="16384" width="9.00390625" style="4" customWidth="1"/>
  </cols>
  <sheetData>
    <row r="1" spans="1:10" s="6" customFormat="1" ht="8.25" customHeight="1">
      <c r="A1" s="5"/>
      <c r="B1" s="5"/>
      <c r="C1" s="5"/>
      <c r="D1" s="307"/>
      <c r="E1" s="307"/>
      <c r="F1" s="307"/>
      <c r="G1" s="307"/>
      <c r="H1" s="307"/>
      <c r="I1" s="307"/>
      <c r="J1" s="307"/>
    </row>
    <row r="2" spans="1:10" s="6" customFormat="1" ht="18" customHeight="1">
      <c r="A2" s="5"/>
      <c r="B2" s="5"/>
      <c r="C2" s="5"/>
      <c r="D2" s="7"/>
      <c r="E2" s="7"/>
      <c r="F2" s="7"/>
      <c r="G2" s="7"/>
      <c r="H2" s="7"/>
      <c r="I2" s="7"/>
      <c r="J2" s="7"/>
    </row>
    <row r="3" spans="1:10" s="6" customFormat="1" ht="18" customHeight="1">
      <c r="A3" s="5"/>
      <c r="B3" s="5"/>
      <c r="C3" s="5"/>
      <c r="D3" s="7"/>
      <c r="E3" s="7"/>
      <c r="F3" s="7"/>
      <c r="G3" s="7"/>
      <c r="H3" s="7"/>
      <c r="I3" s="7"/>
      <c r="J3" s="7"/>
    </row>
    <row r="4" spans="1:10" s="6" customFormat="1" ht="64.5" customHeight="1">
      <c r="A4" s="5"/>
      <c r="B4" s="5"/>
      <c r="C4" s="5"/>
      <c r="D4" s="8"/>
      <c r="E4" s="8"/>
      <c r="F4" s="8"/>
      <c r="G4" s="9"/>
      <c r="H4" s="8"/>
      <c r="I4" s="8"/>
      <c r="J4" s="8"/>
    </row>
    <row r="5" spans="1:10" s="6" customFormat="1" ht="18">
      <c r="A5" s="41" t="s">
        <v>0</v>
      </c>
      <c r="B5" s="10"/>
      <c r="C5" s="10"/>
      <c r="D5" s="7"/>
      <c r="E5" s="10"/>
      <c r="F5" s="10"/>
      <c r="G5" s="310" t="s">
        <v>385</v>
      </c>
      <c r="H5" s="311"/>
      <c r="I5" s="311"/>
      <c r="J5" s="312"/>
    </row>
    <row r="6" spans="1:10" s="6" customFormat="1" ht="18">
      <c r="A6" s="41" t="s">
        <v>1</v>
      </c>
      <c r="B6" s="7"/>
      <c r="C6" s="7"/>
      <c r="D6" s="7"/>
      <c r="E6" s="7"/>
      <c r="F6" s="7"/>
      <c r="G6" s="313" t="s">
        <v>386</v>
      </c>
      <c r="H6" s="313"/>
      <c r="I6" s="313"/>
      <c r="J6" s="313"/>
    </row>
    <row r="7" spans="1:10" s="6" customFormat="1" ht="18">
      <c r="A7" s="41" t="s">
        <v>2</v>
      </c>
      <c r="B7" s="7"/>
      <c r="C7" s="7"/>
      <c r="D7" s="7"/>
      <c r="E7" s="11"/>
      <c r="F7" s="11"/>
      <c r="G7" s="314" t="s">
        <v>430</v>
      </c>
      <c r="H7" s="314"/>
      <c r="I7" s="314"/>
      <c r="J7" s="314"/>
    </row>
    <row r="8" spans="1:10" s="6" customFormat="1" ht="18">
      <c r="A8" s="7"/>
      <c r="B8" s="7"/>
      <c r="C8" s="7"/>
      <c r="D8" s="7"/>
      <c r="E8" s="11"/>
      <c r="F8" s="11"/>
      <c r="G8" s="314" t="s">
        <v>388</v>
      </c>
      <c r="H8" s="314"/>
      <c r="I8" s="314"/>
      <c r="J8" s="314"/>
    </row>
    <row r="9" spans="1:10" s="6" customFormat="1" ht="18">
      <c r="A9" s="7"/>
      <c r="B9" s="7"/>
      <c r="C9" s="7"/>
      <c r="D9" s="7"/>
      <c r="E9" s="11"/>
      <c r="F9" s="11"/>
      <c r="G9" s="314" t="s">
        <v>387</v>
      </c>
      <c r="H9" s="314"/>
      <c r="I9" s="314"/>
      <c r="J9" s="314"/>
    </row>
    <row r="10" spans="1:10" s="6" customFormat="1" ht="18">
      <c r="A10" s="10"/>
      <c r="B10" s="10"/>
      <c r="C10" s="10"/>
      <c r="D10" s="7"/>
      <c r="E10" s="11"/>
      <c r="F10" s="11"/>
      <c r="G10" s="11"/>
      <c r="H10" s="11"/>
      <c r="I10" s="11"/>
      <c r="J10" s="11"/>
    </row>
    <row r="11" spans="1:10" ht="23.25" customHeight="1">
      <c r="A11" s="308" t="s">
        <v>3</v>
      </c>
      <c r="B11" s="308"/>
      <c r="C11" s="308"/>
      <c r="D11" s="308"/>
      <c r="E11" s="308"/>
      <c r="F11" s="308"/>
      <c r="G11" s="308"/>
      <c r="H11" s="308"/>
      <c r="I11" s="308"/>
      <c r="J11" s="308"/>
    </row>
    <row r="12" spans="1:10" s="6" customFormat="1" ht="18">
      <c r="A12" s="12"/>
      <c r="B12" s="12"/>
      <c r="C12" s="12"/>
      <c r="D12" s="12"/>
      <c r="E12" s="309"/>
      <c r="F12" s="309"/>
      <c r="G12" s="309"/>
      <c r="H12" s="12"/>
      <c r="I12" s="12"/>
      <c r="J12" s="13"/>
    </row>
    <row r="13" spans="1:10" ht="54">
      <c r="A13" s="270" t="s">
        <v>4</v>
      </c>
      <c r="B13" s="270" t="s">
        <v>5</v>
      </c>
      <c r="C13" s="270" t="s">
        <v>6</v>
      </c>
      <c r="D13" s="270" t="s">
        <v>7</v>
      </c>
      <c r="E13" s="270" t="s">
        <v>8</v>
      </c>
      <c r="F13" s="270" t="s">
        <v>9</v>
      </c>
      <c r="G13" s="271" t="s">
        <v>10</v>
      </c>
      <c r="H13" s="271" t="s">
        <v>11</v>
      </c>
      <c r="I13" s="271" t="s">
        <v>389</v>
      </c>
      <c r="J13" s="271" t="s">
        <v>12</v>
      </c>
    </row>
    <row r="14" spans="1:10" s="1" customFormat="1" ht="19.5" customHeight="1">
      <c r="A14" s="270">
        <v>1</v>
      </c>
      <c r="B14" s="270"/>
      <c r="C14" s="270"/>
      <c r="D14" s="272" t="s">
        <v>13</v>
      </c>
      <c r="E14" s="270"/>
      <c r="F14" s="270"/>
      <c r="G14" s="271"/>
      <c r="H14" s="271"/>
      <c r="I14" s="273">
        <f>SUM(I15)</f>
        <v>7037.76</v>
      </c>
      <c r="J14" s="273">
        <f>SUM(J15)</f>
        <v>7037.76</v>
      </c>
    </row>
    <row r="15" spans="1:10" s="1" customFormat="1" ht="19.5" customHeight="1">
      <c r="A15" s="60" t="s">
        <v>14</v>
      </c>
      <c r="B15" s="60" t="s">
        <v>15</v>
      </c>
      <c r="C15" s="60">
        <v>1</v>
      </c>
      <c r="D15" s="61" t="s">
        <v>13</v>
      </c>
      <c r="E15" s="60" t="s">
        <v>16</v>
      </c>
      <c r="F15" s="62">
        <f>CÁLCULO!K5</f>
        <v>1</v>
      </c>
      <c r="G15" s="265">
        <f>ADM!G12</f>
        <v>7037.76</v>
      </c>
      <c r="H15" s="90" t="s">
        <v>17</v>
      </c>
      <c r="I15" s="266">
        <f>F15*G15</f>
        <v>7037.76</v>
      </c>
      <c r="J15" s="266">
        <f>F15*G15</f>
        <v>7037.76</v>
      </c>
    </row>
    <row r="16" spans="1:10" s="59" customFormat="1" ht="19.5" customHeight="1">
      <c r="A16" s="270">
        <v>2</v>
      </c>
      <c r="B16" s="270"/>
      <c r="C16" s="270"/>
      <c r="D16" s="272" t="s">
        <v>18</v>
      </c>
      <c r="E16" s="270"/>
      <c r="F16" s="270"/>
      <c r="G16" s="274"/>
      <c r="H16" s="274"/>
      <c r="I16" s="275">
        <f>SUM(I17:I26)</f>
        <v>12472.024000000001</v>
      </c>
      <c r="J16" s="275">
        <f>SUM(J17:J26)</f>
        <v>16187.439949600002</v>
      </c>
    </row>
    <row r="17" spans="1:10" s="14" customFormat="1" ht="19.5" customHeight="1">
      <c r="A17" s="60" t="s">
        <v>19</v>
      </c>
      <c r="B17" s="60" t="s">
        <v>20</v>
      </c>
      <c r="C17" s="60" t="s">
        <v>21</v>
      </c>
      <c r="D17" s="61" t="s">
        <v>394</v>
      </c>
      <c r="E17" s="60" t="s">
        <v>23</v>
      </c>
      <c r="F17" s="62">
        <f>CÁLCULO!K8</f>
        <v>2.88</v>
      </c>
      <c r="G17" s="280">
        <v>848.25</v>
      </c>
      <c r="H17" s="267">
        <f aca="true" t="shared" si="0" ref="H17:H26">G17*1.2979</f>
        <v>1100.943675</v>
      </c>
      <c r="I17" s="266">
        <f>F17*G17</f>
        <v>2442.96</v>
      </c>
      <c r="J17" s="266">
        <f>F17*H17</f>
        <v>3170.717784</v>
      </c>
    </row>
    <row r="18" spans="1:10" s="14" customFormat="1" ht="19.5" customHeight="1">
      <c r="A18" s="60" t="s">
        <v>24</v>
      </c>
      <c r="B18" s="60" t="s">
        <v>20</v>
      </c>
      <c r="C18" s="60" t="s">
        <v>25</v>
      </c>
      <c r="D18" s="61" t="s">
        <v>26</v>
      </c>
      <c r="E18" s="60" t="s">
        <v>23</v>
      </c>
      <c r="F18" s="62">
        <f>CÁLCULO!K10</f>
        <v>16.470000000000002</v>
      </c>
      <c r="G18" s="267">
        <v>26.18</v>
      </c>
      <c r="H18" s="267">
        <f t="shared" si="0"/>
        <v>33.979022</v>
      </c>
      <c r="I18" s="266">
        <f aca="true" t="shared" si="1" ref="I18:I26">F18*G18</f>
        <v>431.18460000000005</v>
      </c>
      <c r="J18" s="266">
        <f aca="true" t="shared" si="2" ref="J18:J26">F18*H18</f>
        <v>559.6344923400001</v>
      </c>
    </row>
    <row r="19" spans="1:10" s="14" customFormat="1" ht="19.5" customHeight="1">
      <c r="A19" s="60" t="s">
        <v>27</v>
      </c>
      <c r="B19" s="60" t="s">
        <v>20</v>
      </c>
      <c r="C19" s="60" t="s">
        <v>28</v>
      </c>
      <c r="D19" s="61" t="s">
        <v>29</v>
      </c>
      <c r="E19" s="60" t="s">
        <v>30</v>
      </c>
      <c r="F19" s="62">
        <f>CÁLCULO!K12</f>
        <v>1</v>
      </c>
      <c r="G19" s="280">
        <v>1988.49</v>
      </c>
      <c r="H19" s="267">
        <f t="shared" si="0"/>
        <v>2580.861171</v>
      </c>
      <c r="I19" s="266">
        <f t="shared" si="1"/>
        <v>1988.49</v>
      </c>
      <c r="J19" s="266">
        <f t="shared" si="2"/>
        <v>2580.861171</v>
      </c>
    </row>
    <row r="20" spans="1:10" s="14" customFormat="1" ht="19.5" customHeight="1">
      <c r="A20" s="60" t="s">
        <v>31</v>
      </c>
      <c r="B20" s="60" t="s">
        <v>20</v>
      </c>
      <c r="C20" s="63" t="s">
        <v>32</v>
      </c>
      <c r="D20" s="64" t="s">
        <v>33</v>
      </c>
      <c r="E20" s="60" t="s">
        <v>23</v>
      </c>
      <c r="F20" s="62">
        <f>CÁLCULO!K14</f>
        <v>47.5</v>
      </c>
      <c r="G20" s="280">
        <v>43.05</v>
      </c>
      <c r="H20" s="267">
        <f t="shared" si="0"/>
        <v>55.874595</v>
      </c>
      <c r="I20" s="266">
        <f t="shared" si="1"/>
        <v>2044.8749999999998</v>
      </c>
      <c r="J20" s="266">
        <f t="shared" si="2"/>
        <v>2654.0432625</v>
      </c>
    </row>
    <row r="21" spans="1:10" s="14" customFormat="1" ht="19.5" customHeight="1">
      <c r="A21" s="60" t="s">
        <v>34</v>
      </c>
      <c r="B21" s="60" t="s">
        <v>20</v>
      </c>
      <c r="C21" s="63" t="s">
        <v>35</v>
      </c>
      <c r="D21" s="65" t="s">
        <v>36</v>
      </c>
      <c r="E21" s="63" t="s">
        <v>37</v>
      </c>
      <c r="F21" s="62">
        <f>CÁLCULO!K16</f>
        <v>5</v>
      </c>
      <c r="G21" s="280">
        <v>686.33</v>
      </c>
      <c r="H21" s="267">
        <f t="shared" si="0"/>
        <v>890.7877070000001</v>
      </c>
      <c r="I21" s="266">
        <f t="shared" si="1"/>
        <v>3431.65</v>
      </c>
      <c r="J21" s="266">
        <f t="shared" si="2"/>
        <v>4453.938535</v>
      </c>
    </row>
    <row r="22" spans="1:10" s="14" customFormat="1" ht="19.5" customHeight="1">
      <c r="A22" s="60" t="s">
        <v>38</v>
      </c>
      <c r="B22" s="60" t="s">
        <v>20</v>
      </c>
      <c r="C22" s="60" t="s">
        <v>39</v>
      </c>
      <c r="D22" s="61" t="s">
        <v>40</v>
      </c>
      <c r="E22" s="60" t="s">
        <v>41</v>
      </c>
      <c r="F22" s="62">
        <f>CÁLCULO!K18</f>
        <v>15</v>
      </c>
      <c r="G22" s="280">
        <v>23.85</v>
      </c>
      <c r="H22" s="267">
        <f t="shared" si="0"/>
        <v>30.954915000000003</v>
      </c>
      <c r="I22" s="266">
        <f t="shared" si="1"/>
        <v>357.75</v>
      </c>
      <c r="J22" s="266">
        <f t="shared" si="2"/>
        <v>464.323725</v>
      </c>
    </row>
    <row r="23" spans="1:10" s="14" customFormat="1" ht="19.5" customHeight="1">
      <c r="A23" s="60" t="s">
        <v>42</v>
      </c>
      <c r="B23" s="60" t="s">
        <v>20</v>
      </c>
      <c r="C23" s="66" t="s">
        <v>43</v>
      </c>
      <c r="D23" s="67" t="s">
        <v>44</v>
      </c>
      <c r="E23" s="60" t="s">
        <v>23</v>
      </c>
      <c r="F23" s="62">
        <f>CÁLCULO!K20</f>
        <v>4.5</v>
      </c>
      <c r="G23" s="266">
        <v>10.3</v>
      </c>
      <c r="H23" s="267">
        <f t="shared" si="0"/>
        <v>13.368370000000002</v>
      </c>
      <c r="I23" s="266">
        <f t="shared" si="1"/>
        <v>46.35</v>
      </c>
      <c r="J23" s="266">
        <f t="shared" si="2"/>
        <v>60.15766500000001</v>
      </c>
    </row>
    <row r="24" spans="1:10" s="14" customFormat="1" ht="36">
      <c r="A24" s="60" t="s">
        <v>414</v>
      </c>
      <c r="B24" s="60" t="s">
        <v>20</v>
      </c>
      <c r="C24" s="58" t="s">
        <v>400</v>
      </c>
      <c r="D24" s="140" t="s">
        <v>401</v>
      </c>
      <c r="E24" s="60" t="s">
        <v>23</v>
      </c>
      <c r="F24" s="62">
        <f>CÁLCULO!K22</f>
        <v>40.260000000000005</v>
      </c>
      <c r="G24" s="266">
        <v>16.78</v>
      </c>
      <c r="H24" s="267">
        <f t="shared" si="0"/>
        <v>21.778762000000004</v>
      </c>
      <c r="I24" s="266">
        <f t="shared" si="1"/>
        <v>675.5628000000002</v>
      </c>
      <c r="J24" s="266">
        <f t="shared" si="2"/>
        <v>876.8129581200003</v>
      </c>
    </row>
    <row r="25" spans="1:10" s="14" customFormat="1" ht="18">
      <c r="A25" s="60" t="s">
        <v>415</v>
      </c>
      <c r="B25" s="60" t="s">
        <v>20</v>
      </c>
      <c r="C25" s="58" t="s">
        <v>412</v>
      </c>
      <c r="D25" s="140" t="s">
        <v>413</v>
      </c>
      <c r="E25" s="60" t="s">
        <v>23</v>
      </c>
      <c r="F25" s="62">
        <f>CÁLCULO!K24</f>
        <v>80.52000000000001</v>
      </c>
      <c r="G25" s="266">
        <v>2.83</v>
      </c>
      <c r="H25" s="267">
        <f t="shared" si="0"/>
        <v>3.6730570000000005</v>
      </c>
      <c r="I25" s="266">
        <f t="shared" si="1"/>
        <v>227.87160000000003</v>
      </c>
      <c r="J25" s="266">
        <f t="shared" si="2"/>
        <v>295.75454964000005</v>
      </c>
    </row>
    <row r="26" spans="1:10" s="14" customFormat="1" ht="18">
      <c r="A26" s="60" t="s">
        <v>418</v>
      </c>
      <c r="B26" s="60" t="s">
        <v>20</v>
      </c>
      <c r="C26" s="58" t="s">
        <v>416</v>
      </c>
      <c r="D26" s="140" t="s">
        <v>417</v>
      </c>
      <c r="E26" s="60" t="s">
        <v>23</v>
      </c>
      <c r="F26" s="62">
        <f>CÁLCULO!K26</f>
        <v>40.260000000000005</v>
      </c>
      <c r="G26" s="266">
        <v>20.5</v>
      </c>
      <c r="H26" s="267">
        <f t="shared" si="0"/>
        <v>26.60695</v>
      </c>
      <c r="I26" s="266">
        <f t="shared" si="1"/>
        <v>825.3300000000002</v>
      </c>
      <c r="J26" s="266">
        <f t="shared" si="2"/>
        <v>1071.1958070000003</v>
      </c>
    </row>
    <row r="27" spans="1:10" s="14" customFormat="1" ht="19.5" customHeight="1">
      <c r="A27" s="270">
        <v>3</v>
      </c>
      <c r="B27" s="270"/>
      <c r="C27" s="270"/>
      <c r="D27" s="272" t="s">
        <v>45</v>
      </c>
      <c r="E27" s="276"/>
      <c r="F27" s="276"/>
      <c r="G27" s="277"/>
      <c r="H27" s="277"/>
      <c r="I27" s="274"/>
      <c r="J27" s="274"/>
    </row>
    <row r="28" spans="1:10" s="17" customFormat="1" ht="18">
      <c r="A28" s="270" t="s">
        <v>46</v>
      </c>
      <c r="B28" s="270"/>
      <c r="C28" s="270"/>
      <c r="D28" s="272" t="s">
        <v>47</v>
      </c>
      <c r="E28" s="276"/>
      <c r="F28" s="276"/>
      <c r="G28" s="277"/>
      <c r="H28" s="277"/>
      <c r="I28" s="274">
        <f>SUM(I29:I33)</f>
        <v>967.2601994999999</v>
      </c>
      <c r="J28" s="274">
        <f>SUM(J29:J33)</f>
        <v>1255.4070129310498</v>
      </c>
    </row>
    <row r="29" spans="1:10" s="17" customFormat="1" ht="18">
      <c r="A29" s="60" t="s">
        <v>48</v>
      </c>
      <c r="B29" s="60" t="s">
        <v>20</v>
      </c>
      <c r="C29" s="60" t="s">
        <v>49</v>
      </c>
      <c r="D29" s="61" t="s">
        <v>50</v>
      </c>
      <c r="E29" s="60" t="s">
        <v>51</v>
      </c>
      <c r="F29" s="62">
        <f>CÁLCULO!K30</f>
        <v>4.8</v>
      </c>
      <c r="G29" s="266">
        <v>1.29</v>
      </c>
      <c r="H29" s="267">
        <f>G29*1.2979</f>
        <v>1.6742910000000002</v>
      </c>
      <c r="I29" s="266">
        <f>F29*G29</f>
        <v>6.192</v>
      </c>
      <c r="J29" s="266">
        <f>F29*H29</f>
        <v>8.0365968</v>
      </c>
    </row>
    <row r="30" spans="1:10" s="17" customFormat="1" ht="18">
      <c r="A30" s="60" t="s">
        <v>52</v>
      </c>
      <c r="B30" s="60" t="s">
        <v>20</v>
      </c>
      <c r="C30" s="60" t="s">
        <v>53</v>
      </c>
      <c r="D30" s="61" t="s">
        <v>54</v>
      </c>
      <c r="E30" s="60" t="s">
        <v>55</v>
      </c>
      <c r="F30" s="62">
        <f>CÁLCULO!K34</f>
        <v>0.8826</v>
      </c>
      <c r="G30" s="266">
        <v>185.57</v>
      </c>
      <c r="H30" s="267">
        <f>G30*1.2979</f>
        <v>240.851303</v>
      </c>
      <c r="I30" s="266">
        <f>F30*G30</f>
        <v>163.784082</v>
      </c>
      <c r="J30" s="266">
        <f>F30*H30</f>
        <v>212.5753600278</v>
      </c>
    </row>
    <row r="31" spans="1:10" s="17" customFormat="1" ht="36">
      <c r="A31" s="60" t="s">
        <v>56</v>
      </c>
      <c r="B31" s="60" t="s">
        <v>20</v>
      </c>
      <c r="C31" s="60" t="s">
        <v>57</v>
      </c>
      <c r="D31" s="64" t="s">
        <v>58</v>
      </c>
      <c r="E31" s="60" t="s">
        <v>55</v>
      </c>
      <c r="F31" s="62">
        <f>CÁLCULO!K39</f>
        <v>3.1329000000000002</v>
      </c>
      <c r="G31" s="266">
        <v>42.18</v>
      </c>
      <c r="H31" s="267">
        <f>G31*1.2979</f>
        <v>54.745422000000005</v>
      </c>
      <c r="I31" s="266">
        <f>F31*G31</f>
        <v>132.145722</v>
      </c>
      <c r="J31" s="266">
        <f>F31*H31</f>
        <v>171.51193258380002</v>
      </c>
    </row>
    <row r="32" spans="1:10" s="17" customFormat="1" ht="18">
      <c r="A32" s="60" t="s">
        <v>59</v>
      </c>
      <c r="B32" s="60" t="s">
        <v>20</v>
      </c>
      <c r="C32" s="60" t="s">
        <v>60</v>
      </c>
      <c r="D32" s="61" t="s">
        <v>61</v>
      </c>
      <c r="E32" s="60" t="s">
        <v>55</v>
      </c>
      <c r="F32" s="62">
        <f>CÁLCULO!K44</f>
        <v>0.15764999999999998</v>
      </c>
      <c r="G32" s="266">
        <v>141.81</v>
      </c>
      <c r="H32" s="267">
        <f>G32*1.2979</f>
        <v>184.05519900000002</v>
      </c>
      <c r="I32" s="266">
        <f>F32*G32</f>
        <v>22.356346499999997</v>
      </c>
      <c r="J32" s="266">
        <f>F32*H32</f>
        <v>29.016302122349998</v>
      </c>
    </row>
    <row r="33" spans="1:10" s="14" customFormat="1" ht="36">
      <c r="A33" s="60" t="s">
        <v>62</v>
      </c>
      <c r="B33" s="60" t="s">
        <v>20</v>
      </c>
      <c r="C33" s="60" t="s">
        <v>63</v>
      </c>
      <c r="D33" s="64" t="s">
        <v>64</v>
      </c>
      <c r="E33" s="60" t="s">
        <v>55</v>
      </c>
      <c r="F33" s="62">
        <f>CÁLCULO!K52</f>
        <v>5.637449999999999</v>
      </c>
      <c r="G33" s="266">
        <v>114.02</v>
      </c>
      <c r="H33" s="267">
        <f>G33*1.2979</f>
        <v>147.986558</v>
      </c>
      <c r="I33" s="266">
        <f>F33*G33</f>
        <v>642.7820489999999</v>
      </c>
      <c r="J33" s="266">
        <f>F33*H33</f>
        <v>834.2668213970999</v>
      </c>
    </row>
    <row r="34" spans="1:10" s="17" customFormat="1" ht="18">
      <c r="A34" s="270" t="s">
        <v>65</v>
      </c>
      <c r="B34" s="270"/>
      <c r="C34" s="276"/>
      <c r="D34" s="272" t="s">
        <v>66</v>
      </c>
      <c r="E34" s="276"/>
      <c r="F34" s="276"/>
      <c r="G34" s="277"/>
      <c r="H34" s="277"/>
      <c r="I34" s="274">
        <f>SUM(I35:I36)</f>
        <v>4834.095</v>
      </c>
      <c r="J34" s="274">
        <f>SUM(J35:J36)</f>
        <v>6274.1719004999995</v>
      </c>
    </row>
    <row r="35" spans="1:13" s="17" customFormat="1" ht="18">
      <c r="A35" s="60" t="s">
        <v>67</v>
      </c>
      <c r="B35" s="60" t="s">
        <v>20</v>
      </c>
      <c r="C35" s="62" t="s">
        <v>68</v>
      </c>
      <c r="D35" s="61" t="s">
        <v>69</v>
      </c>
      <c r="E35" s="60" t="s">
        <v>51</v>
      </c>
      <c r="F35" s="62">
        <f>CÁLCULO!K55</f>
        <v>42</v>
      </c>
      <c r="G35" s="266">
        <v>67.42</v>
      </c>
      <c r="H35" s="267">
        <f>G35*1.2979</f>
        <v>87.504418</v>
      </c>
      <c r="I35" s="266">
        <f>F35*G35</f>
        <v>2831.64</v>
      </c>
      <c r="J35" s="266">
        <f>F35*H35</f>
        <v>3675.185556</v>
      </c>
      <c r="L35" s="321"/>
      <c r="M35" s="321"/>
    </row>
    <row r="36" spans="1:13" s="17" customFormat="1" ht="18">
      <c r="A36" s="60" t="s">
        <v>70</v>
      </c>
      <c r="B36" s="60" t="s">
        <v>20</v>
      </c>
      <c r="C36" s="60" t="s">
        <v>71</v>
      </c>
      <c r="D36" s="61" t="s">
        <v>72</v>
      </c>
      <c r="E36" s="60" t="s">
        <v>73</v>
      </c>
      <c r="F36" s="62">
        <f>CÁLCULO!K60</f>
        <v>177.996</v>
      </c>
      <c r="G36" s="266">
        <v>11.25</v>
      </c>
      <c r="H36" s="267">
        <f>G36*1.2979</f>
        <v>14.601375</v>
      </c>
      <c r="I36" s="266">
        <f>F36*G36</f>
        <v>2002.4550000000002</v>
      </c>
      <c r="J36" s="266">
        <f>F36*H36</f>
        <v>2598.9863445</v>
      </c>
      <c r="L36" s="321"/>
      <c r="M36" s="321"/>
    </row>
    <row r="37" spans="1:13" s="17" customFormat="1" ht="18">
      <c r="A37" s="270" t="s">
        <v>74</v>
      </c>
      <c r="B37" s="276"/>
      <c r="C37" s="276"/>
      <c r="D37" s="272" t="s">
        <v>75</v>
      </c>
      <c r="E37" s="276"/>
      <c r="F37" s="276"/>
      <c r="G37" s="277"/>
      <c r="H37" s="277"/>
      <c r="I37" s="274">
        <f>SUM(I38:I41)</f>
        <v>3242.83321</v>
      </c>
      <c r="J37" s="274">
        <f>SUM(J38:J41)</f>
        <v>4208.873223259</v>
      </c>
      <c r="L37" s="321"/>
      <c r="M37" s="321"/>
    </row>
    <row r="38" spans="1:13" s="17" customFormat="1" ht="18">
      <c r="A38" s="60" t="s">
        <v>76</v>
      </c>
      <c r="B38" s="60" t="s">
        <v>20</v>
      </c>
      <c r="C38" s="60" t="s">
        <v>77</v>
      </c>
      <c r="D38" s="61" t="s">
        <v>78</v>
      </c>
      <c r="E38" s="60" t="s">
        <v>55</v>
      </c>
      <c r="F38" s="62">
        <f>CÁLCULO!K66</f>
        <v>2.5284999999999997</v>
      </c>
      <c r="G38" s="266">
        <v>416.28</v>
      </c>
      <c r="H38" s="267">
        <f>G38*1.2979</f>
        <v>540.289812</v>
      </c>
      <c r="I38" s="266">
        <f>F38*G38</f>
        <v>1052.56398</v>
      </c>
      <c r="J38" s="266">
        <f>F38*H38</f>
        <v>1366.1227896419998</v>
      </c>
      <c r="L38" s="321">
        <v>20.731199999999998</v>
      </c>
      <c r="M38" s="321"/>
    </row>
    <row r="39" spans="1:13" s="17" customFormat="1" ht="18">
      <c r="A39" s="60" t="s">
        <v>79</v>
      </c>
      <c r="B39" s="60" t="s">
        <v>20</v>
      </c>
      <c r="C39" s="60" t="s">
        <v>80</v>
      </c>
      <c r="D39" s="61" t="s">
        <v>81</v>
      </c>
      <c r="E39" s="60" t="s">
        <v>55</v>
      </c>
      <c r="F39" s="62">
        <f>CÁLCULO!K71</f>
        <v>2.5284999999999997</v>
      </c>
      <c r="G39" s="266">
        <v>142.28</v>
      </c>
      <c r="H39" s="267">
        <f>G39*1.2979</f>
        <v>184.665212</v>
      </c>
      <c r="I39" s="266">
        <f>F39*G39</f>
        <v>359.75498</v>
      </c>
      <c r="J39" s="266">
        <f>F39*H39</f>
        <v>466.92598854199997</v>
      </c>
      <c r="L39" s="321"/>
      <c r="M39" s="321"/>
    </row>
    <row r="40" spans="1:13" s="17" customFormat="1" ht="18">
      <c r="A40" s="60" t="s">
        <v>82</v>
      </c>
      <c r="B40" s="60" t="s">
        <v>20</v>
      </c>
      <c r="C40" s="60" t="s">
        <v>71</v>
      </c>
      <c r="D40" s="61" t="s">
        <v>72</v>
      </c>
      <c r="E40" s="60" t="s">
        <v>73</v>
      </c>
      <c r="F40" s="62">
        <f>CÁLCULO!K79</f>
        <v>100.7938</v>
      </c>
      <c r="G40" s="266">
        <v>11.25</v>
      </c>
      <c r="H40" s="267">
        <f>G40*1.2979</f>
        <v>14.601375</v>
      </c>
      <c r="I40" s="266">
        <f>F40*G40</f>
        <v>1133.9302500000001</v>
      </c>
      <c r="J40" s="266">
        <f>F40*H40</f>
        <v>1471.7280714750002</v>
      </c>
      <c r="L40" s="321"/>
      <c r="M40" s="321"/>
    </row>
    <row r="41" spans="1:13" s="17" customFormat="1" ht="18">
      <c r="A41" s="60" t="s">
        <v>83</v>
      </c>
      <c r="B41" s="60" t="s">
        <v>20</v>
      </c>
      <c r="C41" s="60" t="s">
        <v>84</v>
      </c>
      <c r="D41" s="61" t="s">
        <v>85</v>
      </c>
      <c r="E41" s="60" t="s">
        <v>23</v>
      </c>
      <c r="F41" s="62">
        <f>CÁLCULO!K83</f>
        <v>7.84</v>
      </c>
      <c r="G41" s="266">
        <v>88.85</v>
      </c>
      <c r="H41" s="267">
        <f>G41*1.2979</f>
        <v>115.318415</v>
      </c>
      <c r="I41" s="266">
        <f>F41*G41</f>
        <v>696.584</v>
      </c>
      <c r="J41" s="266">
        <f>F41*H41</f>
        <v>904.0963736</v>
      </c>
      <c r="L41" s="321"/>
      <c r="M41" s="321"/>
    </row>
    <row r="42" spans="1:13" s="17" customFormat="1" ht="18">
      <c r="A42" s="270" t="s">
        <v>86</v>
      </c>
      <c r="B42" s="276"/>
      <c r="C42" s="276"/>
      <c r="D42" s="272" t="s">
        <v>87</v>
      </c>
      <c r="E42" s="276"/>
      <c r="F42" s="276"/>
      <c r="G42" s="277"/>
      <c r="H42" s="277"/>
      <c r="I42" s="274">
        <f>SUM(I43:I46)</f>
        <v>7066.071164</v>
      </c>
      <c r="J42" s="274">
        <f>SUM(J43:J46)</f>
        <v>9171.0537637556</v>
      </c>
      <c r="L42" s="321"/>
      <c r="M42" s="321"/>
    </row>
    <row r="43" spans="1:13" s="17" customFormat="1" ht="18">
      <c r="A43" s="60" t="s">
        <v>88</v>
      </c>
      <c r="B43" s="60" t="s">
        <v>20</v>
      </c>
      <c r="C43" s="60" t="s">
        <v>77</v>
      </c>
      <c r="D43" s="61" t="s">
        <v>78</v>
      </c>
      <c r="E43" s="60" t="s">
        <v>55</v>
      </c>
      <c r="F43" s="62">
        <f>CÁLCULO!K88+L44</f>
        <v>2.7803999999999998</v>
      </c>
      <c r="G43" s="266">
        <v>416.28</v>
      </c>
      <c r="H43" s="267">
        <f>G43*1.2979</f>
        <v>540.289812</v>
      </c>
      <c r="I43" s="266">
        <f>F43*G43</f>
        <v>1157.4249119999997</v>
      </c>
      <c r="J43" s="266">
        <f>F43*H43</f>
        <v>1502.2217932847998</v>
      </c>
      <c r="L43" s="321">
        <f>0.3*0.2*1.4</f>
        <v>0.08399999999999999</v>
      </c>
      <c r="M43" s="321"/>
    </row>
    <row r="44" spans="1:13" s="17" customFormat="1" ht="18">
      <c r="A44" s="60" t="s">
        <v>89</v>
      </c>
      <c r="B44" s="60" t="s">
        <v>20</v>
      </c>
      <c r="C44" s="60" t="s">
        <v>90</v>
      </c>
      <c r="D44" s="61" t="s">
        <v>91</v>
      </c>
      <c r="E44" s="60" t="s">
        <v>55</v>
      </c>
      <c r="F44" s="62">
        <f>F43</f>
        <v>2.7803999999999998</v>
      </c>
      <c r="G44" s="266">
        <v>98.28</v>
      </c>
      <c r="H44" s="267">
        <f>G44*1.2979</f>
        <v>127.557612</v>
      </c>
      <c r="I44" s="266">
        <f>F44*G44</f>
        <v>273.25771199999997</v>
      </c>
      <c r="J44" s="266">
        <f>F44*H44</f>
        <v>354.6611844048</v>
      </c>
      <c r="L44" s="321">
        <f>L43*6</f>
        <v>0.504</v>
      </c>
      <c r="M44" s="321"/>
    </row>
    <row r="45" spans="1:13" s="17" customFormat="1" ht="18">
      <c r="A45" s="60" t="s">
        <v>92</v>
      </c>
      <c r="B45" s="60" t="s">
        <v>20</v>
      </c>
      <c r="C45" s="60" t="s">
        <v>71</v>
      </c>
      <c r="D45" s="61" t="s">
        <v>72</v>
      </c>
      <c r="E45" s="60" t="s">
        <v>73</v>
      </c>
      <c r="F45" s="62">
        <f>CÁLCULO!K100+L38</f>
        <v>173.14466666666667</v>
      </c>
      <c r="G45" s="266">
        <v>11.25</v>
      </c>
      <c r="H45" s="267">
        <f>G45*1.2979</f>
        <v>14.601375</v>
      </c>
      <c r="I45" s="266">
        <f>F45*G45</f>
        <v>1947.8775</v>
      </c>
      <c r="J45" s="266">
        <f>F45*H45</f>
        <v>2528.15020725</v>
      </c>
      <c r="L45" s="322">
        <f>L44+F43</f>
        <v>3.2843999999999998</v>
      </c>
      <c r="M45" s="321"/>
    </row>
    <row r="46" spans="1:13" s="17" customFormat="1" ht="18">
      <c r="A46" s="60" t="s">
        <v>93</v>
      </c>
      <c r="B46" s="60" t="s">
        <v>20</v>
      </c>
      <c r="C46" s="60" t="s">
        <v>94</v>
      </c>
      <c r="D46" s="61" t="s">
        <v>95</v>
      </c>
      <c r="E46" s="60" t="s">
        <v>23</v>
      </c>
      <c r="F46" s="62">
        <f>CÁLCULO!K105+1.4</f>
        <v>16.256</v>
      </c>
      <c r="G46" s="266">
        <v>226.84</v>
      </c>
      <c r="H46" s="267">
        <f>G46*1.2979</f>
        <v>294.415636</v>
      </c>
      <c r="I46" s="266">
        <f>F46*G46</f>
        <v>3687.5110400000003</v>
      </c>
      <c r="J46" s="266">
        <f>F46*H46</f>
        <v>4786.020578816</v>
      </c>
      <c r="L46" s="321"/>
      <c r="M46" s="321"/>
    </row>
    <row r="47" spans="1:13" s="17" customFormat="1" ht="18">
      <c r="A47" s="270" t="s">
        <v>96</v>
      </c>
      <c r="B47" s="276"/>
      <c r="C47" s="276"/>
      <c r="D47" s="272" t="s">
        <v>97</v>
      </c>
      <c r="E47" s="276"/>
      <c r="F47" s="276"/>
      <c r="G47" s="277"/>
      <c r="H47" s="277"/>
      <c r="I47" s="274">
        <f>SUM(I48:I51)</f>
        <v>3299.95944</v>
      </c>
      <c r="J47" s="274">
        <f>SUM(J48:J51)</f>
        <v>4283.017357176</v>
      </c>
      <c r="L47" s="321"/>
      <c r="M47" s="321"/>
    </row>
    <row r="48" spans="1:13" s="17" customFormat="1" ht="18">
      <c r="A48" s="60" t="s">
        <v>98</v>
      </c>
      <c r="B48" s="60" t="s">
        <v>20</v>
      </c>
      <c r="C48" s="60" t="s">
        <v>77</v>
      </c>
      <c r="D48" s="61" t="s">
        <v>78</v>
      </c>
      <c r="E48" s="60" t="s">
        <v>55</v>
      </c>
      <c r="F48" s="62">
        <f>CÁLCULO!K108</f>
        <v>0.8639999999999999</v>
      </c>
      <c r="G48" s="266">
        <v>416.28</v>
      </c>
      <c r="H48" s="267">
        <f>G48*1.2979</f>
        <v>540.289812</v>
      </c>
      <c r="I48" s="266">
        <f>F48*G48</f>
        <v>359.6659199999999</v>
      </c>
      <c r="J48" s="266">
        <f>F48*H48</f>
        <v>466.8103975679999</v>
      </c>
      <c r="L48" s="321"/>
      <c r="M48" s="321"/>
    </row>
    <row r="49" spans="1:13" s="17" customFormat="1" ht="18">
      <c r="A49" s="60" t="s">
        <v>99</v>
      </c>
      <c r="B49" s="60" t="s">
        <v>20</v>
      </c>
      <c r="C49" s="60" t="s">
        <v>90</v>
      </c>
      <c r="D49" s="61" t="s">
        <v>91</v>
      </c>
      <c r="E49" s="60" t="s">
        <v>55</v>
      </c>
      <c r="F49" s="62">
        <f>CÁLCULO!K110</f>
        <v>0.8639999999999999</v>
      </c>
      <c r="G49" s="266">
        <v>98.28</v>
      </c>
      <c r="H49" s="267">
        <f>G49*1.2979</f>
        <v>127.557612</v>
      </c>
      <c r="I49" s="266">
        <f>F49*G49</f>
        <v>84.91391999999999</v>
      </c>
      <c r="J49" s="266">
        <f>F49*H49</f>
        <v>110.20977676799998</v>
      </c>
      <c r="L49" s="321"/>
      <c r="M49" s="321"/>
    </row>
    <row r="50" spans="1:13" s="17" customFormat="1" ht="18">
      <c r="A50" s="60" t="s">
        <v>100</v>
      </c>
      <c r="B50" s="60" t="s">
        <v>20</v>
      </c>
      <c r="C50" s="60" t="s">
        <v>71</v>
      </c>
      <c r="D50" s="61" t="s">
        <v>72</v>
      </c>
      <c r="E50" s="60" t="s">
        <v>73</v>
      </c>
      <c r="F50" s="62">
        <f>CÁLCULO!K116</f>
        <v>79.5984</v>
      </c>
      <c r="G50" s="266">
        <v>11.25</v>
      </c>
      <c r="H50" s="267">
        <f>G50*1.2979</f>
        <v>14.601375</v>
      </c>
      <c r="I50" s="266">
        <f>F50*G50</f>
        <v>895.482</v>
      </c>
      <c r="J50" s="266">
        <f>F50*H50</f>
        <v>1162.2460878</v>
      </c>
      <c r="L50" s="321"/>
      <c r="M50" s="321"/>
    </row>
    <row r="51" spans="1:13" s="17" customFormat="1" ht="18">
      <c r="A51" s="60" t="s">
        <v>101</v>
      </c>
      <c r="B51" s="60" t="s">
        <v>20</v>
      </c>
      <c r="C51" s="60" t="s">
        <v>94</v>
      </c>
      <c r="D51" s="61" t="s">
        <v>95</v>
      </c>
      <c r="E51" s="60" t="s">
        <v>23</v>
      </c>
      <c r="F51" s="62">
        <f>CÁLCULO!K119</f>
        <v>8.64</v>
      </c>
      <c r="G51" s="266">
        <v>226.84</v>
      </c>
      <c r="H51" s="267">
        <f>G51*1.2979</f>
        <v>294.415636</v>
      </c>
      <c r="I51" s="266">
        <f>F51*G51</f>
        <v>1959.8976000000002</v>
      </c>
      <c r="J51" s="266">
        <f>F51*H51</f>
        <v>2543.75109504</v>
      </c>
      <c r="L51" s="321"/>
      <c r="M51" s="321"/>
    </row>
    <row r="52" spans="1:10" s="17" customFormat="1" ht="18">
      <c r="A52" s="270" t="s">
        <v>102</v>
      </c>
      <c r="B52" s="276"/>
      <c r="C52" s="276"/>
      <c r="D52" s="272" t="s">
        <v>103</v>
      </c>
      <c r="E52" s="276"/>
      <c r="F52" s="276"/>
      <c r="G52" s="277"/>
      <c r="H52" s="277"/>
      <c r="I52" s="274">
        <f>SUM(I53:I57)</f>
        <v>1634.6616960000001</v>
      </c>
      <c r="J52" s="274">
        <f>SUM(J53:J57)</f>
        <v>2121.6274152384003</v>
      </c>
    </row>
    <row r="53" spans="1:10" s="17" customFormat="1" ht="18">
      <c r="A53" s="60" t="s">
        <v>104</v>
      </c>
      <c r="B53" s="60" t="s">
        <v>20</v>
      </c>
      <c r="C53" s="60" t="s">
        <v>105</v>
      </c>
      <c r="D53" s="61" t="s">
        <v>106</v>
      </c>
      <c r="E53" s="60" t="s">
        <v>23</v>
      </c>
      <c r="F53" s="62">
        <f>CÁLCULO!K124</f>
        <v>7.92</v>
      </c>
      <c r="G53" s="266">
        <v>83.56</v>
      </c>
      <c r="H53" s="267">
        <f>G53*1.2979</f>
        <v>108.45252400000001</v>
      </c>
      <c r="I53" s="266">
        <f>F53*G53</f>
        <v>661.7952</v>
      </c>
      <c r="J53" s="266">
        <f>F53*H53</f>
        <v>858.94399008</v>
      </c>
    </row>
    <row r="54" spans="1:10" s="17" customFormat="1" ht="18">
      <c r="A54" s="60" t="s">
        <v>107</v>
      </c>
      <c r="B54" s="60" t="s">
        <v>20</v>
      </c>
      <c r="C54" s="60" t="s">
        <v>108</v>
      </c>
      <c r="D54" s="61" t="s">
        <v>428</v>
      </c>
      <c r="E54" s="60" t="s">
        <v>55</v>
      </c>
      <c r="F54" s="62">
        <f>CÁLCULO!K129</f>
        <v>0.3552</v>
      </c>
      <c r="G54" s="266">
        <v>732.23</v>
      </c>
      <c r="H54" s="267">
        <f>G54*1.2979</f>
        <v>950.3613170000001</v>
      </c>
      <c r="I54" s="266">
        <f>F54*G54</f>
        <v>260.088096</v>
      </c>
      <c r="J54" s="266">
        <f>F54*H54</f>
        <v>337.5683397984001</v>
      </c>
    </row>
    <row r="55" spans="1:10" s="17" customFormat="1" ht="18">
      <c r="A55" s="60" t="s">
        <v>110</v>
      </c>
      <c r="B55" s="60" t="s">
        <v>20</v>
      </c>
      <c r="C55" s="60" t="s">
        <v>111</v>
      </c>
      <c r="D55" s="61" t="s">
        <v>112</v>
      </c>
      <c r="E55" s="60" t="s">
        <v>23</v>
      </c>
      <c r="F55" s="62">
        <f>CÁLCULO!K134</f>
        <v>17.759999999999998</v>
      </c>
      <c r="G55" s="266">
        <v>6.06</v>
      </c>
      <c r="H55" s="267">
        <f>G55*1.2979</f>
        <v>7.865273999999999</v>
      </c>
      <c r="I55" s="266">
        <f>F55*G55</f>
        <v>107.62559999999998</v>
      </c>
      <c r="J55" s="266">
        <f>F55*H55</f>
        <v>139.68726623999999</v>
      </c>
    </row>
    <row r="56" spans="1:10" s="17" customFormat="1" ht="18">
      <c r="A56" s="60" t="s">
        <v>113</v>
      </c>
      <c r="B56" s="60" t="s">
        <v>20</v>
      </c>
      <c r="C56" s="60" t="s">
        <v>71</v>
      </c>
      <c r="D56" s="61" t="s">
        <v>72</v>
      </c>
      <c r="E56" s="60" t="s">
        <v>73</v>
      </c>
      <c r="F56" s="62">
        <f>CÁLCULO!K139</f>
        <v>9.936</v>
      </c>
      <c r="G56" s="266">
        <v>11.25</v>
      </c>
      <c r="H56" s="267">
        <f>G56*1.2979</f>
        <v>14.601375</v>
      </c>
      <c r="I56" s="266">
        <f>F56*G56</f>
        <v>111.78</v>
      </c>
      <c r="J56" s="266">
        <f>F56*H56</f>
        <v>145.079262</v>
      </c>
    </row>
    <row r="57" spans="1:10" s="17" customFormat="1" ht="18">
      <c r="A57" s="60" t="s">
        <v>114</v>
      </c>
      <c r="B57" s="60" t="s">
        <v>20</v>
      </c>
      <c r="C57" s="60" t="s">
        <v>118</v>
      </c>
      <c r="D57" s="61" t="s">
        <v>119</v>
      </c>
      <c r="E57" s="60" t="s">
        <v>23</v>
      </c>
      <c r="F57" s="62">
        <f>CÁLCULO!K146</f>
        <v>17.759999999999998</v>
      </c>
      <c r="G57" s="266">
        <v>27.78</v>
      </c>
      <c r="H57" s="267">
        <f>G57*1.2979</f>
        <v>36.055662000000005</v>
      </c>
      <c r="I57" s="266">
        <f>F57*G57</f>
        <v>493.3728</v>
      </c>
      <c r="J57" s="266">
        <f>F57*H57</f>
        <v>640.34855712</v>
      </c>
    </row>
    <row r="58" spans="1:10" s="17" customFormat="1" ht="18">
      <c r="A58" s="270" t="s">
        <v>120</v>
      </c>
      <c r="B58" s="276"/>
      <c r="C58" s="276"/>
      <c r="D58" s="272" t="s">
        <v>121</v>
      </c>
      <c r="E58" s="276"/>
      <c r="F58" s="278"/>
      <c r="G58" s="277"/>
      <c r="H58" s="277"/>
      <c r="I58" s="274">
        <f>SUM(I59:I60)</f>
        <v>1333.73952</v>
      </c>
      <c r="J58" s="274">
        <f>SUM(J59:J60)</f>
        <v>1731.060523008</v>
      </c>
    </row>
    <row r="59" spans="1:10" s="17" customFormat="1" ht="18">
      <c r="A59" s="60" t="s">
        <v>122</v>
      </c>
      <c r="B59" s="60" t="s">
        <v>20</v>
      </c>
      <c r="C59" s="60" t="s">
        <v>77</v>
      </c>
      <c r="D59" s="61" t="s">
        <v>78</v>
      </c>
      <c r="E59" s="60" t="s">
        <v>55</v>
      </c>
      <c r="F59" s="62">
        <f>CÁLCULO!K149</f>
        <v>2.592</v>
      </c>
      <c r="G59" s="266">
        <v>416.28</v>
      </c>
      <c r="H59" s="267">
        <f>G59*1.2979</f>
        <v>540.289812</v>
      </c>
      <c r="I59" s="266">
        <f>F59*G59</f>
        <v>1078.99776</v>
      </c>
      <c r="J59" s="266">
        <f>F59*H59</f>
        <v>1400.431192704</v>
      </c>
    </row>
    <row r="60" spans="1:10" s="17" customFormat="1" ht="18">
      <c r="A60" s="60" t="s">
        <v>123</v>
      </c>
      <c r="B60" s="60" t="s">
        <v>20</v>
      </c>
      <c r="C60" s="60" t="s">
        <v>90</v>
      </c>
      <c r="D60" s="61" t="s">
        <v>91</v>
      </c>
      <c r="E60" s="60" t="s">
        <v>55</v>
      </c>
      <c r="F60" s="62">
        <f>CÁLCULO!K151</f>
        <v>2.592</v>
      </c>
      <c r="G60" s="266">
        <v>98.28</v>
      </c>
      <c r="H60" s="267">
        <f>G60*1.2979</f>
        <v>127.557612</v>
      </c>
      <c r="I60" s="266">
        <f>F60*G60</f>
        <v>254.74176</v>
      </c>
      <c r="J60" s="266">
        <f>F60*H60</f>
        <v>330.629330304</v>
      </c>
    </row>
    <row r="61" spans="1:10" s="17" customFormat="1" ht="18">
      <c r="A61" s="270">
        <v>4</v>
      </c>
      <c r="B61" s="270"/>
      <c r="C61" s="270"/>
      <c r="D61" s="272" t="s">
        <v>124</v>
      </c>
      <c r="E61" s="276"/>
      <c r="F61" s="276"/>
      <c r="G61" s="277"/>
      <c r="H61" s="277"/>
      <c r="I61" s="274"/>
      <c r="J61" s="274"/>
    </row>
    <row r="62" spans="1:10" s="17" customFormat="1" ht="18">
      <c r="A62" s="270" t="s">
        <v>125</v>
      </c>
      <c r="B62" s="276"/>
      <c r="C62" s="270"/>
      <c r="D62" s="272" t="s">
        <v>47</v>
      </c>
      <c r="E62" s="276"/>
      <c r="F62" s="276"/>
      <c r="G62" s="277"/>
      <c r="H62" s="277"/>
      <c r="I62" s="274">
        <f>SUM(I63:I67)</f>
        <v>638.29163885</v>
      </c>
      <c r="J62" s="274">
        <f>SUM(J63:J67)</f>
        <v>828.4387180634151</v>
      </c>
    </row>
    <row r="63" spans="1:10" s="17" customFormat="1" ht="18">
      <c r="A63" s="60" t="s">
        <v>126</v>
      </c>
      <c r="B63" s="60" t="s">
        <v>20</v>
      </c>
      <c r="C63" s="60" t="s">
        <v>49</v>
      </c>
      <c r="D63" s="61" t="s">
        <v>50</v>
      </c>
      <c r="E63" s="60" t="s">
        <v>51</v>
      </c>
      <c r="F63" s="62">
        <f>CÁLCULO!K159</f>
        <v>4.48</v>
      </c>
      <c r="G63" s="266">
        <v>1.29</v>
      </c>
      <c r="H63" s="267">
        <f>G63*1.2979</f>
        <v>1.6742910000000002</v>
      </c>
      <c r="I63" s="266">
        <f>F63*G63</f>
        <v>5.7792</v>
      </c>
      <c r="J63" s="266">
        <f>F63*H63</f>
        <v>7.500823680000002</v>
      </c>
    </row>
    <row r="64" spans="1:10" s="17" customFormat="1" ht="18">
      <c r="A64" s="60" t="s">
        <v>127</v>
      </c>
      <c r="B64" s="60" t="s">
        <v>20</v>
      </c>
      <c r="C64" s="60" t="s">
        <v>53</v>
      </c>
      <c r="D64" s="61" t="s">
        <v>54</v>
      </c>
      <c r="E64" s="60" t="s">
        <v>55</v>
      </c>
      <c r="F64" s="62">
        <f>CÁLCULO!K163</f>
        <v>0.7616</v>
      </c>
      <c r="G64" s="266">
        <v>185.57</v>
      </c>
      <c r="H64" s="267">
        <f>G64*1.2979</f>
        <v>240.851303</v>
      </c>
      <c r="I64" s="266">
        <f>F64*G64</f>
        <v>141.330112</v>
      </c>
      <c r="J64" s="266">
        <f>F64*H64</f>
        <v>183.4323523648</v>
      </c>
    </row>
    <row r="65" spans="1:10" s="17" customFormat="1" ht="36">
      <c r="A65" s="60" t="s">
        <v>128</v>
      </c>
      <c r="B65" s="60" t="s">
        <v>20</v>
      </c>
      <c r="C65" s="60" t="s">
        <v>57</v>
      </c>
      <c r="D65" s="64" t="s">
        <v>58</v>
      </c>
      <c r="E65" s="60" t="s">
        <v>55</v>
      </c>
      <c r="F65" s="62">
        <f>CÁLCULO!K167</f>
        <v>1.6845</v>
      </c>
      <c r="G65" s="266">
        <v>42.18</v>
      </c>
      <c r="H65" s="267">
        <f>G65*1.2979</f>
        <v>54.745422000000005</v>
      </c>
      <c r="I65" s="266">
        <f>F65*G65</f>
        <v>71.05221</v>
      </c>
      <c r="J65" s="266">
        <f>F65*H65</f>
        <v>92.21866335900002</v>
      </c>
    </row>
    <row r="66" spans="1:10" s="17" customFormat="1" ht="18">
      <c r="A66" s="60" t="s">
        <v>129</v>
      </c>
      <c r="B66" s="60" t="s">
        <v>20</v>
      </c>
      <c r="C66" s="60" t="s">
        <v>60</v>
      </c>
      <c r="D66" s="61" t="s">
        <v>61</v>
      </c>
      <c r="E66" s="60" t="s">
        <v>55</v>
      </c>
      <c r="F66" s="62">
        <f>CÁLCULO!K171</f>
        <v>0.0378</v>
      </c>
      <c r="G66" s="266">
        <v>141.81</v>
      </c>
      <c r="H66" s="267">
        <f>G66*1.2979</f>
        <v>184.05519900000002</v>
      </c>
      <c r="I66" s="266">
        <f>F66*G66</f>
        <v>5.360418</v>
      </c>
      <c r="J66" s="266">
        <f>F66*H66</f>
        <v>6.9572865222</v>
      </c>
    </row>
    <row r="67" spans="1:10" s="14" customFormat="1" ht="36">
      <c r="A67" s="60" t="s">
        <v>130</v>
      </c>
      <c r="B67" s="60" t="s">
        <v>20</v>
      </c>
      <c r="C67" s="60" t="s">
        <v>63</v>
      </c>
      <c r="D67" s="64" t="s">
        <v>64</v>
      </c>
      <c r="E67" s="60" t="s">
        <v>55</v>
      </c>
      <c r="F67" s="62">
        <f>CÁLCULO!K178</f>
        <v>3.6376925000000004</v>
      </c>
      <c r="G67" s="266">
        <v>114.02</v>
      </c>
      <c r="H67" s="267">
        <f>G67*1.2979</f>
        <v>147.986558</v>
      </c>
      <c r="I67" s="266">
        <f>F67*G67</f>
        <v>414.76969885000005</v>
      </c>
      <c r="J67" s="266">
        <f>F67*H67</f>
        <v>538.329592137415</v>
      </c>
    </row>
    <row r="68" spans="1:10" s="17" customFormat="1" ht="18">
      <c r="A68" s="270" t="s">
        <v>131</v>
      </c>
      <c r="B68" s="270"/>
      <c r="C68" s="276"/>
      <c r="D68" s="272" t="s">
        <v>66</v>
      </c>
      <c r="E68" s="276"/>
      <c r="F68" s="276"/>
      <c r="G68" s="277"/>
      <c r="H68" s="277"/>
      <c r="I68" s="274">
        <f>SUM(I69:I70)</f>
        <v>2474.2605000000003</v>
      </c>
      <c r="J68" s="274">
        <f>SUM(J69:J70)</f>
        <v>3211.34270295</v>
      </c>
    </row>
    <row r="69" spans="1:10" s="17" customFormat="1" ht="18">
      <c r="A69" s="60" t="s">
        <v>132</v>
      </c>
      <c r="B69" s="60" t="s">
        <v>20</v>
      </c>
      <c r="C69" s="62" t="s">
        <v>68</v>
      </c>
      <c r="D69" s="61" t="s">
        <v>69</v>
      </c>
      <c r="E69" s="60" t="s">
        <v>51</v>
      </c>
      <c r="F69" s="62">
        <f>CÁLCULO!K181</f>
        <v>21</v>
      </c>
      <c r="G69" s="266">
        <v>67.42</v>
      </c>
      <c r="H69" s="267">
        <f>G69*1.2979</f>
        <v>87.504418</v>
      </c>
      <c r="I69" s="266">
        <f>F69*G69</f>
        <v>1415.82</v>
      </c>
      <c r="J69" s="266">
        <f>F69*H69</f>
        <v>1837.592778</v>
      </c>
    </row>
    <row r="70" spans="1:10" s="17" customFormat="1" ht="18">
      <c r="A70" s="60" t="s">
        <v>133</v>
      </c>
      <c r="B70" s="60" t="s">
        <v>20</v>
      </c>
      <c r="C70" s="60" t="s">
        <v>71</v>
      </c>
      <c r="D70" s="61" t="s">
        <v>72</v>
      </c>
      <c r="E70" s="60" t="s">
        <v>73</v>
      </c>
      <c r="F70" s="62">
        <f>CÁLCULO!K186</f>
        <v>94.0836</v>
      </c>
      <c r="G70" s="266">
        <v>11.25</v>
      </c>
      <c r="H70" s="267">
        <f>G70*1.2979</f>
        <v>14.601375</v>
      </c>
      <c r="I70" s="266">
        <f>F70*G70</f>
        <v>1058.4405000000002</v>
      </c>
      <c r="J70" s="266">
        <f>F70*H70</f>
        <v>1373.7499249500001</v>
      </c>
    </row>
    <row r="71" spans="1:10" s="17" customFormat="1" ht="18">
      <c r="A71" s="270" t="s">
        <v>134</v>
      </c>
      <c r="B71" s="276"/>
      <c r="C71" s="276"/>
      <c r="D71" s="272" t="s">
        <v>135</v>
      </c>
      <c r="E71" s="276"/>
      <c r="F71" s="276"/>
      <c r="G71" s="277"/>
      <c r="H71" s="277"/>
      <c r="I71" s="274">
        <f>SUM(I72:I75)</f>
        <v>1747.5667199999998</v>
      </c>
      <c r="J71" s="274">
        <f>SUM(J72:J75)</f>
        <v>2268.166845888</v>
      </c>
    </row>
    <row r="72" spans="1:10" s="17" customFormat="1" ht="18">
      <c r="A72" s="60" t="s">
        <v>136</v>
      </c>
      <c r="B72" s="60" t="s">
        <v>20</v>
      </c>
      <c r="C72" s="60" t="s">
        <v>77</v>
      </c>
      <c r="D72" s="61" t="s">
        <v>78</v>
      </c>
      <c r="E72" s="60" t="s">
        <v>55</v>
      </c>
      <c r="F72" s="62">
        <f>CÁLCULO!K191</f>
        <v>1.242</v>
      </c>
      <c r="G72" s="266">
        <v>416.28</v>
      </c>
      <c r="H72" s="267">
        <f>G72*1.2979</f>
        <v>540.289812</v>
      </c>
      <c r="I72" s="266">
        <f>F72*G72</f>
        <v>517.01976</v>
      </c>
      <c r="J72" s="266">
        <f>F72*H72</f>
        <v>671.039946504</v>
      </c>
    </row>
    <row r="73" spans="1:10" s="17" customFormat="1" ht="18">
      <c r="A73" s="60" t="s">
        <v>137</v>
      </c>
      <c r="B73" s="60" t="s">
        <v>20</v>
      </c>
      <c r="C73" s="60" t="s">
        <v>80</v>
      </c>
      <c r="D73" s="61" t="s">
        <v>81</v>
      </c>
      <c r="E73" s="60" t="s">
        <v>55</v>
      </c>
      <c r="F73" s="62">
        <f>CÁLCULO!K195</f>
        <v>1.242</v>
      </c>
      <c r="G73" s="266">
        <v>142.28</v>
      </c>
      <c r="H73" s="267">
        <f>G73*1.2979</f>
        <v>184.665212</v>
      </c>
      <c r="I73" s="266">
        <f>F73*G73</f>
        <v>176.71176</v>
      </c>
      <c r="J73" s="266">
        <f>F73*H73</f>
        <v>229.354193304</v>
      </c>
    </row>
    <row r="74" spans="1:10" s="17" customFormat="1" ht="18">
      <c r="A74" s="60" t="s">
        <v>138</v>
      </c>
      <c r="B74" s="60" t="s">
        <v>20</v>
      </c>
      <c r="C74" s="60" t="s">
        <v>71</v>
      </c>
      <c r="D74" s="61" t="s">
        <v>72</v>
      </c>
      <c r="E74" s="60" t="s">
        <v>73</v>
      </c>
      <c r="F74" s="62">
        <f>CÁLCULO!K201</f>
        <v>46.05064</v>
      </c>
      <c r="G74" s="266">
        <v>11.25</v>
      </c>
      <c r="H74" s="267">
        <f>G74*1.2979</f>
        <v>14.601375</v>
      </c>
      <c r="I74" s="266">
        <f>F74*G74</f>
        <v>518.0697</v>
      </c>
      <c r="J74" s="266">
        <f>F74*H74</f>
        <v>672.40266363</v>
      </c>
    </row>
    <row r="75" spans="1:10" s="17" customFormat="1" ht="18">
      <c r="A75" s="60" t="s">
        <v>139</v>
      </c>
      <c r="B75" s="60" t="s">
        <v>20</v>
      </c>
      <c r="C75" s="60" t="s">
        <v>84</v>
      </c>
      <c r="D75" s="61" t="s">
        <v>85</v>
      </c>
      <c r="E75" s="60" t="s">
        <v>23</v>
      </c>
      <c r="F75" s="62">
        <f>CÁLCULO!K205</f>
        <v>6.029999999999999</v>
      </c>
      <c r="G75" s="266">
        <v>88.85</v>
      </c>
      <c r="H75" s="267">
        <f>G75*1.2979</f>
        <v>115.318415</v>
      </c>
      <c r="I75" s="266">
        <f>F75*G75</f>
        <v>535.7654999999999</v>
      </c>
      <c r="J75" s="266">
        <f>F75*H75</f>
        <v>695.3700424499999</v>
      </c>
    </row>
    <row r="76" spans="1:10" s="17" customFormat="1" ht="18">
      <c r="A76" s="270" t="s">
        <v>140</v>
      </c>
      <c r="B76" s="276"/>
      <c r="C76" s="276"/>
      <c r="D76" s="272" t="s">
        <v>87</v>
      </c>
      <c r="E76" s="276"/>
      <c r="F76" s="276"/>
      <c r="G76" s="277"/>
      <c r="H76" s="277"/>
      <c r="I76" s="274">
        <f>SUM(I77:I80)</f>
        <v>3003.45111</v>
      </c>
      <c r="J76" s="274">
        <f>SUM(J77:J80)</f>
        <v>3898.1791956689995</v>
      </c>
    </row>
    <row r="77" spans="1:10" s="17" customFormat="1" ht="18">
      <c r="A77" s="60" t="s">
        <v>141</v>
      </c>
      <c r="B77" s="60" t="s">
        <v>20</v>
      </c>
      <c r="C77" s="60" t="s">
        <v>77</v>
      </c>
      <c r="D77" s="61" t="s">
        <v>78</v>
      </c>
      <c r="E77" s="60" t="s">
        <v>55</v>
      </c>
      <c r="F77" s="62">
        <f>CÁLCULO!K210</f>
        <v>0.8857499999999999</v>
      </c>
      <c r="G77" s="266">
        <v>416.28</v>
      </c>
      <c r="H77" s="267">
        <f>G77*1.2979</f>
        <v>540.289812</v>
      </c>
      <c r="I77" s="266">
        <f>F77*G77</f>
        <v>368.72000999999995</v>
      </c>
      <c r="J77" s="266">
        <f>F77*H77</f>
        <v>478.56170097899997</v>
      </c>
    </row>
    <row r="78" spans="1:10" s="17" customFormat="1" ht="18">
      <c r="A78" s="60" t="s">
        <v>142</v>
      </c>
      <c r="B78" s="60" t="s">
        <v>20</v>
      </c>
      <c r="C78" s="60" t="s">
        <v>90</v>
      </c>
      <c r="D78" s="61" t="s">
        <v>91</v>
      </c>
      <c r="E78" s="60" t="s">
        <v>55</v>
      </c>
      <c r="F78" s="62">
        <f>CÁLCULO!K214</f>
        <v>0.8857499999999999</v>
      </c>
      <c r="G78" s="266">
        <v>98.28</v>
      </c>
      <c r="H78" s="267">
        <f>G78*1.2979</f>
        <v>127.557612</v>
      </c>
      <c r="I78" s="266">
        <f>F78*G78</f>
        <v>87.05151</v>
      </c>
      <c r="J78" s="266">
        <f>F78*H78</f>
        <v>112.98415482899999</v>
      </c>
    </row>
    <row r="79" spans="1:10" s="17" customFormat="1" ht="18">
      <c r="A79" s="60" t="s">
        <v>143</v>
      </c>
      <c r="B79" s="60" t="s">
        <v>20</v>
      </c>
      <c r="C79" s="60" t="s">
        <v>71</v>
      </c>
      <c r="D79" s="61" t="s">
        <v>72</v>
      </c>
      <c r="E79" s="60" t="s">
        <v>73</v>
      </c>
      <c r="F79" s="62">
        <f>CÁLCULO!K222</f>
        <v>78.7422</v>
      </c>
      <c r="G79" s="266">
        <v>11.25</v>
      </c>
      <c r="H79" s="267">
        <f>G79*1.2979</f>
        <v>14.601375</v>
      </c>
      <c r="I79" s="266">
        <f>F79*G79</f>
        <v>885.84975</v>
      </c>
      <c r="J79" s="266">
        <f>F79*H79</f>
        <v>1149.744390525</v>
      </c>
    </row>
    <row r="80" spans="1:10" s="17" customFormat="1" ht="18">
      <c r="A80" s="60" t="s">
        <v>144</v>
      </c>
      <c r="B80" s="60" t="s">
        <v>20</v>
      </c>
      <c r="C80" s="60" t="s">
        <v>94</v>
      </c>
      <c r="D80" s="61" t="s">
        <v>95</v>
      </c>
      <c r="E80" s="60" t="s">
        <v>23</v>
      </c>
      <c r="F80" s="62">
        <f>CÁLCULO!K227</f>
        <v>7.326</v>
      </c>
      <c r="G80" s="266">
        <v>226.84</v>
      </c>
      <c r="H80" s="267">
        <f>G80*1.2979</f>
        <v>294.415636</v>
      </c>
      <c r="I80" s="266">
        <f>F80*G80</f>
        <v>1661.8298399999999</v>
      </c>
      <c r="J80" s="266">
        <f>F80*H80</f>
        <v>2156.8889493359998</v>
      </c>
    </row>
    <row r="81" spans="1:10" s="17" customFormat="1" ht="18">
      <c r="A81" s="270" t="s">
        <v>145</v>
      </c>
      <c r="B81" s="276"/>
      <c r="C81" s="276"/>
      <c r="D81" s="272" t="s">
        <v>97</v>
      </c>
      <c r="E81" s="276"/>
      <c r="F81" s="276"/>
      <c r="G81" s="277"/>
      <c r="H81" s="277"/>
      <c r="I81" s="274">
        <f>SUM(I82:I85)</f>
        <v>3079.962144</v>
      </c>
      <c r="J81" s="274">
        <f>SUM(J82:J85)</f>
        <v>3997.4828666976005</v>
      </c>
    </row>
    <row r="82" spans="1:10" s="17" customFormat="1" ht="18">
      <c r="A82" s="60" t="s">
        <v>146</v>
      </c>
      <c r="B82" s="60" t="s">
        <v>20</v>
      </c>
      <c r="C82" s="60" t="s">
        <v>77</v>
      </c>
      <c r="D82" s="61" t="s">
        <v>78</v>
      </c>
      <c r="E82" s="60" t="s">
        <v>55</v>
      </c>
      <c r="F82" s="62">
        <f>CÁLCULO!K230</f>
        <v>0.8064000000000001</v>
      </c>
      <c r="G82" s="266">
        <v>416.28</v>
      </c>
      <c r="H82" s="267">
        <f>G82*1.2979</f>
        <v>540.289812</v>
      </c>
      <c r="I82" s="266">
        <f>F82*G82</f>
        <v>335.688192</v>
      </c>
      <c r="J82" s="266">
        <f>F82*H82</f>
        <v>435.68970439680004</v>
      </c>
    </row>
    <row r="83" spans="1:10" s="17" customFormat="1" ht="18">
      <c r="A83" s="60" t="s">
        <v>147</v>
      </c>
      <c r="B83" s="60" t="s">
        <v>20</v>
      </c>
      <c r="C83" s="60" t="s">
        <v>90</v>
      </c>
      <c r="D83" s="61" t="s">
        <v>91</v>
      </c>
      <c r="E83" s="60" t="s">
        <v>55</v>
      </c>
      <c r="F83" s="62">
        <f>CÁLCULO!K232</f>
        <v>0.8064000000000001</v>
      </c>
      <c r="G83" s="266">
        <v>98.28</v>
      </c>
      <c r="H83" s="267">
        <f>G83*1.2979</f>
        <v>127.557612</v>
      </c>
      <c r="I83" s="266">
        <f>F83*G83</f>
        <v>79.252992</v>
      </c>
      <c r="J83" s="266">
        <f>F83*H83</f>
        <v>102.86245831680002</v>
      </c>
    </row>
    <row r="84" spans="1:10" s="17" customFormat="1" ht="18">
      <c r="A84" s="60" t="s">
        <v>148</v>
      </c>
      <c r="B84" s="60" t="s">
        <v>20</v>
      </c>
      <c r="C84" s="60" t="s">
        <v>71</v>
      </c>
      <c r="D84" s="61" t="s">
        <v>72</v>
      </c>
      <c r="E84" s="60" t="s">
        <v>73</v>
      </c>
      <c r="F84" s="62">
        <f>CÁLCULO!K238</f>
        <v>74.29184000000001</v>
      </c>
      <c r="G84" s="266">
        <v>11.25</v>
      </c>
      <c r="H84" s="267">
        <f>G84*1.2979</f>
        <v>14.601375</v>
      </c>
      <c r="I84" s="266">
        <f>F84*G84</f>
        <v>835.7832000000001</v>
      </c>
      <c r="J84" s="266">
        <f>F84*H84</f>
        <v>1084.7630152800002</v>
      </c>
    </row>
    <row r="85" spans="1:10" s="17" customFormat="1" ht="18">
      <c r="A85" s="60" t="s">
        <v>149</v>
      </c>
      <c r="B85" s="60" t="s">
        <v>20</v>
      </c>
      <c r="C85" s="60" t="s">
        <v>94</v>
      </c>
      <c r="D85" s="61" t="s">
        <v>95</v>
      </c>
      <c r="E85" s="60" t="s">
        <v>23</v>
      </c>
      <c r="F85" s="62">
        <f>CÁLCULO!K241</f>
        <v>8.064</v>
      </c>
      <c r="G85" s="266">
        <v>226.84</v>
      </c>
      <c r="H85" s="267">
        <f>G85*1.2979</f>
        <v>294.415636</v>
      </c>
      <c r="I85" s="266">
        <f>F85*G85</f>
        <v>1829.23776</v>
      </c>
      <c r="J85" s="266">
        <f>F85*H85</f>
        <v>2374.1676887040003</v>
      </c>
    </row>
    <row r="86" spans="1:10" s="17" customFormat="1" ht="18">
      <c r="A86" s="270" t="s">
        <v>150</v>
      </c>
      <c r="B86" s="276"/>
      <c r="C86" s="276"/>
      <c r="D86" s="272" t="s">
        <v>103</v>
      </c>
      <c r="E86" s="276"/>
      <c r="F86" s="276"/>
      <c r="G86" s="277"/>
      <c r="H86" s="277"/>
      <c r="I86" s="274">
        <f>SUM(I87:I91)</f>
        <v>1342.3301664000003</v>
      </c>
      <c r="J86" s="274">
        <f>SUM(J87:J91)</f>
        <v>1742.2103229705604</v>
      </c>
    </row>
    <row r="87" spans="1:10" s="17" customFormat="1" ht="18">
      <c r="A87" s="60" t="s">
        <v>151</v>
      </c>
      <c r="B87" s="60" t="s">
        <v>20</v>
      </c>
      <c r="C87" s="60" t="s">
        <v>105</v>
      </c>
      <c r="D87" s="61" t="s">
        <v>106</v>
      </c>
      <c r="E87" s="60" t="s">
        <v>23</v>
      </c>
      <c r="F87" s="62">
        <f>CÁLCULO!K246</f>
        <v>6.714000000000001</v>
      </c>
      <c r="G87" s="266">
        <v>83.56</v>
      </c>
      <c r="H87" s="267">
        <f>G87*1.2979</f>
        <v>108.45252400000001</v>
      </c>
      <c r="I87" s="266">
        <f>F87*G87</f>
        <v>561.0218400000001</v>
      </c>
      <c r="J87" s="266">
        <f>F87*H87</f>
        <v>728.1502461360002</v>
      </c>
    </row>
    <row r="88" spans="1:10" s="17" customFormat="1" ht="18">
      <c r="A88" s="60" t="s">
        <v>152</v>
      </c>
      <c r="B88" s="60" t="s">
        <v>20</v>
      </c>
      <c r="C88" s="60" t="s">
        <v>108</v>
      </c>
      <c r="D88" s="61" t="s">
        <v>428</v>
      </c>
      <c r="E88" s="60" t="s">
        <v>55</v>
      </c>
      <c r="F88" s="62">
        <f>CÁLCULO!K251</f>
        <v>0.29568</v>
      </c>
      <c r="G88" s="266">
        <v>732.23</v>
      </c>
      <c r="H88" s="267">
        <f>G88*1.2979</f>
        <v>950.3613170000001</v>
      </c>
      <c r="I88" s="266">
        <f>F88*G88</f>
        <v>216.5057664</v>
      </c>
      <c r="J88" s="266">
        <f>F88*H88</f>
        <v>281.00283421056</v>
      </c>
    </row>
    <row r="89" spans="1:10" s="17" customFormat="1" ht="18">
      <c r="A89" s="60" t="s">
        <v>153</v>
      </c>
      <c r="B89" s="60" t="s">
        <v>20</v>
      </c>
      <c r="C89" s="60" t="s">
        <v>111</v>
      </c>
      <c r="D89" s="61" t="s">
        <v>112</v>
      </c>
      <c r="E89" s="60" t="s">
        <v>23</v>
      </c>
      <c r="F89" s="62">
        <f>CÁLCULO!K256</f>
        <v>14.784</v>
      </c>
      <c r="G89" s="266">
        <v>6.06</v>
      </c>
      <c r="H89" s="267">
        <f>G89*1.2979</f>
        <v>7.865273999999999</v>
      </c>
      <c r="I89" s="266">
        <f>F89*G89</f>
        <v>89.59103999999999</v>
      </c>
      <c r="J89" s="266">
        <f>F89*H89</f>
        <v>116.280210816</v>
      </c>
    </row>
    <row r="90" spans="1:10" s="17" customFormat="1" ht="18">
      <c r="A90" s="60" t="s">
        <v>154</v>
      </c>
      <c r="B90" s="60" t="s">
        <v>20</v>
      </c>
      <c r="C90" s="60" t="s">
        <v>71</v>
      </c>
      <c r="D90" s="61" t="s">
        <v>72</v>
      </c>
      <c r="E90" s="60" t="s">
        <v>73</v>
      </c>
      <c r="F90" s="62">
        <f>CÁLCULO!K261</f>
        <v>5.734400000000001</v>
      </c>
      <c r="G90" s="266">
        <v>11.25</v>
      </c>
      <c r="H90" s="267">
        <f>G90*1.2979</f>
        <v>14.601375</v>
      </c>
      <c r="I90" s="266">
        <f>F90*G90</f>
        <v>64.51200000000001</v>
      </c>
      <c r="J90" s="266">
        <f>F90*H90</f>
        <v>83.73012480000001</v>
      </c>
    </row>
    <row r="91" spans="1:10" s="17" customFormat="1" ht="18">
      <c r="A91" s="60" t="s">
        <v>155</v>
      </c>
      <c r="B91" s="60" t="s">
        <v>20</v>
      </c>
      <c r="C91" s="60" t="s">
        <v>118</v>
      </c>
      <c r="D91" s="61" t="s">
        <v>119</v>
      </c>
      <c r="E91" s="60" t="s">
        <v>23</v>
      </c>
      <c r="F91" s="62">
        <f>CÁLCULO!K268</f>
        <v>14.784</v>
      </c>
      <c r="G91" s="266">
        <v>27.78</v>
      </c>
      <c r="H91" s="267">
        <f>G91*1.2979</f>
        <v>36.055662000000005</v>
      </c>
      <c r="I91" s="266">
        <f>F91*G91</f>
        <v>410.69952000000006</v>
      </c>
      <c r="J91" s="266">
        <f>F91*H91</f>
        <v>533.0469070080001</v>
      </c>
    </row>
    <row r="92" spans="1:10" s="17" customFormat="1" ht="18">
      <c r="A92" s="270" t="s">
        <v>156</v>
      </c>
      <c r="B92" s="276"/>
      <c r="C92" s="276"/>
      <c r="D92" s="272" t="s">
        <v>121</v>
      </c>
      <c r="E92" s="276"/>
      <c r="F92" s="278"/>
      <c r="G92" s="277"/>
      <c r="H92" s="277"/>
      <c r="I92" s="274">
        <f>SUM(I93:I94)</f>
        <v>1060.4052479999998</v>
      </c>
      <c r="J92" s="274">
        <f>SUM(J93:J94)</f>
        <v>1376.2999713791999</v>
      </c>
    </row>
    <row r="93" spans="1:10" s="17" customFormat="1" ht="18">
      <c r="A93" s="60" t="s">
        <v>157</v>
      </c>
      <c r="B93" s="60" t="s">
        <v>20</v>
      </c>
      <c r="C93" s="60" t="s">
        <v>77</v>
      </c>
      <c r="D93" s="61" t="s">
        <v>78</v>
      </c>
      <c r="E93" s="60" t="s">
        <v>55</v>
      </c>
      <c r="F93" s="62">
        <f>CÁLCULO!K271</f>
        <v>2.0608</v>
      </c>
      <c r="G93" s="266">
        <v>416.28</v>
      </c>
      <c r="H93" s="267">
        <f>G93*1.2979</f>
        <v>540.289812</v>
      </c>
      <c r="I93" s="266">
        <f>F93*G93</f>
        <v>857.8698239999999</v>
      </c>
      <c r="J93" s="266">
        <f>F93*H93</f>
        <v>1113.4292445695999</v>
      </c>
    </row>
    <row r="94" spans="1:10" s="17" customFormat="1" ht="18">
      <c r="A94" s="60" t="s">
        <v>158</v>
      </c>
      <c r="B94" s="60" t="s">
        <v>20</v>
      </c>
      <c r="C94" s="60" t="s">
        <v>90</v>
      </c>
      <c r="D94" s="61" t="s">
        <v>91</v>
      </c>
      <c r="E94" s="60" t="s">
        <v>55</v>
      </c>
      <c r="F94" s="62">
        <f>CÁLCULO!K273</f>
        <v>2.0608</v>
      </c>
      <c r="G94" s="266">
        <v>98.28</v>
      </c>
      <c r="H94" s="267">
        <f>G94*1.2979</f>
        <v>127.557612</v>
      </c>
      <c r="I94" s="266">
        <f>F94*G94</f>
        <v>202.535424</v>
      </c>
      <c r="J94" s="266">
        <f>F94*H94</f>
        <v>262.8707268096</v>
      </c>
    </row>
    <row r="95" spans="1:10" s="17" customFormat="1" ht="18">
      <c r="A95" s="270">
        <v>5</v>
      </c>
      <c r="B95" s="270"/>
      <c r="C95" s="270"/>
      <c r="D95" s="272" t="s">
        <v>159</v>
      </c>
      <c r="E95" s="276"/>
      <c r="F95" s="276"/>
      <c r="G95" s="277"/>
      <c r="H95" s="277"/>
      <c r="I95" s="274"/>
      <c r="J95" s="274"/>
    </row>
    <row r="96" spans="1:10" s="17" customFormat="1" ht="18">
      <c r="A96" s="270" t="s">
        <v>160</v>
      </c>
      <c r="B96" s="276"/>
      <c r="C96" s="270"/>
      <c r="D96" s="272" t="s">
        <v>47</v>
      </c>
      <c r="E96" s="276"/>
      <c r="F96" s="276"/>
      <c r="G96" s="277"/>
      <c r="H96" s="277"/>
      <c r="I96" s="274">
        <f>SUM(I97:I101)</f>
        <v>238.58005775000004</v>
      </c>
      <c r="J96" s="274">
        <f>SUM(J97:J101)</f>
        <v>309.653056953725</v>
      </c>
    </row>
    <row r="97" spans="1:10" s="17" customFormat="1" ht="18">
      <c r="A97" s="60" t="s">
        <v>161</v>
      </c>
      <c r="B97" s="60" t="s">
        <v>20</v>
      </c>
      <c r="C97" s="60" t="s">
        <v>49</v>
      </c>
      <c r="D97" s="61" t="s">
        <v>50</v>
      </c>
      <c r="E97" s="60" t="s">
        <v>51</v>
      </c>
      <c r="F97" s="62">
        <f>CÁLCULO!K281</f>
        <v>1.5</v>
      </c>
      <c r="G97" s="266">
        <v>1.29</v>
      </c>
      <c r="H97" s="267">
        <f>G97*1.2979</f>
        <v>1.6742910000000002</v>
      </c>
      <c r="I97" s="266">
        <f>F97*G97</f>
        <v>1.935</v>
      </c>
      <c r="J97" s="266">
        <f>F97*H97</f>
        <v>2.5114365000000003</v>
      </c>
    </row>
    <row r="98" spans="1:10" s="17" customFormat="1" ht="18">
      <c r="A98" s="60" t="s">
        <v>162</v>
      </c>
      <c r="B98" s="60" t="s">
        <v>20</v>
      </c>
      <c r="C98" s="60" t="s">
        <v>53</v>
      </c>
      <c r="D98" s="61" t="s">
        <v>54</v>
      </c>
      <c r="E98" s="60" t="s">
        <v>55</v>
      </c>
      <c r="F98" s="62">
        <f>CÁLCULO!K285</f>
        <v>0.25500000000000006</v>
      </c>
      <c r="G98" s="266">
        <v>185.57</v>
      </c>
      <c r="H98" s="267">
        <f>G98*1.2979</f>
        <v>240.851303</v>
      </c>
      <c r="I98" s="266">
        <f>F98*G98</f>
        <v>47.32035000000001</v>
      </c>
      <c r="J98" s="266">
        <f>F98*H98</f>
        <v>61.41708226500001</v>
      </c>
    </row>
    <row r="99" spans="1:10" s="17" customFormat="1" ht="36">
      <c r="A99" s="60" t="s">
        <v>163</v>
      </c>
      <c r="B99" s="60" t="s">
        <v>20</v>
      </c>
      <c r="C99" s="60" t="s">
        <v>57</v>
      </c>
      <c r="D99" s="64" t="s">
        <v>58</v>
      </c>
      <c r="E99" s="60" t="s">
        <v>55</v>
      </c>
      <c r="F99" s="62">
        <f>CÁLCULO!K289</f>
        <v>0.6407</v>
      </c>
      <c r="G99" s="266">
        <v>42.18</v>
      </c>
      <c r="H99" s="267">
        <f>G99*1.2979</f>
        <v>54.745422000000005</v>
      </c>
      <c r="I99" s="266">
        <f>F99*G99</f>
        <v>27.024726</v>
      </c>
      <c r="J99" s="266">
        <f>F99*H99</f>
        <v>35.07539187540001</v>
      </c>
    </row>
    <row r="100" spans="1:10" s="17" customFormat="1" ht="18">
      <c r="A100" s="60" t="s">
        <v>164</v>
      </c>
      <c r="B100" s="60" t="s">
        <v>20</v>
      </c>
      <c r="C100" s="60" t="s">
        <v>60</v>
      </c>
      <c r="D100" s="61" t="s">
        <v>61</v>
      </c>
      <c r="E100" s="60" t="s">
        <v>55</v>
      </c>
      <c r="F100" s="62">
        <f>CÁLCULO!K293</f>
        <v>0.0324</v>
      </c>
      <c r="G100" s="266">
        <v>141.81</v>
      </c>
      <c r="H100" s="267">
        <f>G100*1.2979</f>
        <v>184.05519900000002</v>
      </c>
      <c r="I100" s="266">
        <f>F100*G100</f>
        <v>4.594644</v>
      </c>
      <c r="J100" s="266">
        <f>F100*H100</f>
        <v>5.9633884476</v>
      </c>
    </row>
    <row r="101" spans="1:10" s="14" customFormat="1" ht="36">
      <c r="A101" s="60" t="s">
        <v>165</v>
      </c>
      <c r="B101" s="60" t="s">
        <v>20</v>
      </c>
      <c r="C101" s="60" t="s">
        <v>63</v>
      </c>
      <c r="D101" s="64" t="s">
        <v>64</v>
      </c>
      <c r="E101" s="60" t="s">
        <v>55</v>
      </c>
      <c r="F101" s="62">
        <f>CÁLCULO!K300</f>
        <v>1.3831375000000001</v>
      </c>
      <c r="G101" s="266">
        <v>114.02</v>
      </c>
      <c r="H101" s="267">
        <f>G101*1.2979</f>
        <v>147.986558</v>
      </c>
      <c r="I101" s="266">
        <f>F101*G101</f>
        <v>157.70533775</v>
      </c>
      <c r="J101" s="266">
        <f>F101*H101</f>
        <v>204.685757865725</v>
      </c>
    </row>
    <row r="102" spans="1:10" s="17" customFormat="1" ht="18">
      <c r="A102" s="270" t="s">
        <v>166</v>
      </c>
      <c r="B102" s="270"/>
      <c r="C102" s="276"/>
      <c r="D102" s="272" t="s">
        <v>66</v>
      </c>
      <c r="E102" s="276"/>
      <c r="F102" s="276"/>
      <c r="G102" s="277"/>
      <c r="H102" s="277"/>
      <c r="I102" s="274">
        <f>SUM(I103:I104)</f>
        <v>824.7535</v>
      </c>
      <c r="J102" s="274">
        <f>SUM(J103:J104)</f>
        <v>1070.44756765</v>
      </c>
    </row>
    <row r="103" spans="1:10" s="17" customFormat="1" ht="18">
      <c r="A103" s="60" t="s">
        <v>167</v>
      </c>
      <c r="B103" s="60" t="s">
        <v>20</v>
      </c>
      <c r="C103" s="62" t="s">
        <v>68</v>
      </c>
      <c r="D103" s="61" t="s">
        <v>69</v>
      </c>
      <c r="E103" s="60" t="s">
        <v>51</v>
      </c>
      <c r="F103" s="62">
        <f>CÁLCULO!K303</f>
        <v>7</v>
      </c>
      <c r="G103" s="266">
        <v>67.42</v>
      </c>
      <c r="H103" s="267">
        <f>G103*1.2979</f>
        <v>87.504418</v>
      </c>
      <c r="I103" s="266">
        <f>F103*G103</f>
        <v>471.94</v>
      </c>
      <c r="J103" s="266">
        <f>F103*H103</f>
        <v>612.530926</v>
      </c>
    </row>
    <row r="104" spans="1:10" s="17" customFormat="1" ht="18">
      <c r="A104" s="60" t="s">
        <v>168</v>
      </c>
      <c r="B104" s="60" t="s">
        <v>20</v>
      </c>
      <c r="C104" s="60" t="s">
        <v>71</v>
      </c>
      <c r="D104" s="61" t="s">
        <v>72</v>
      </c>
      <c r="E104" s="60" t="s">
        <v>73</v>
      </c>
      <c r="F104" s="62">
        <f>CÁLCULO!K308</f>
        <v>31.3612</v>
      </c>
      <c r="G104" s="266">
        <v>11.25</v>
      </c>
      <c r="H104" s="267">
        <f>G104*1.2979</f>
        <v>14.601375</v>
      </c>
      <c r="I104" s="266">
        <f>F104*G104</f>
        <v>352.8135</v>
      </c>
      <c r="J104" s="266">
        <f>F104*H104</f>
        <v>457.91664165000003</v>
      </c>
    </row>
    <row r="105" spans="1:10" s="17" customFormat="1" ht="18">
      <c r="A105" s="270" t="s">
        <v>169</v>
      </c>
      <c r="B105" s="276"/>
      <c r="C105" s="276"/>
      <c r="D105" s="272" t="s">
        <v>135</v>
      </c>
      <c r="E105" s="276"/>
      <c r="F105" s="276"/>
      <c r="G105" s="277"/>
      <c r="H105" s="277"/>
      <c r="I105" s="274">
        <f>SUM(I106:I109)</f>
        <v>645.0843299999999</v>
      </c>
      <c r="J105" s="274">
        <f>SUM(J106:J109)</f>
        <v>837.2549519070001</v>
      </c>
    </row>
    <row r="106" spans="1:10" s="17" customFormat="1" ht="18">
      <c r="A106" s="60" t="s">
        <v>170</v>
      </c>
      <c r="B106" s="60" t="s">
        <v>20</v>
      </c>
      <c r="C106" s="60" t="s">
        <v>77</v>
      </c>
      <c r="D106" s="61" t="s">
        <v>78</v>
      </c>
      <c r="E106" s="60" t="s">
        <v>55</v>
      </c>
      <c r="F106" s="62">
        <f>CÁLCULO!K313</f>
        <v>0.46799999999999997</v>
      </c>
      <c r="G106" s="266">
        <v>416.28</v>
      </c>
      <c r="H106" s="267">
        <f>G106*1.2979</f>
        <v>540.289812</v>
      </c>
      <c r="I106" s="266">
        <f>F106*G106</f>
        <v>194.81903999999997</v>
      </c>
      <c r="J106" s="266">
        <f>F106*H106</f>
        <v>252.855632016</v>
      </c>
    </row>
    <row r="107" spans="1:10" s="17" customFormat="1" ht="18">
      <c r="A107" s="60" t="s">
        <v>171</v>
      </c>
      <c r="B107" s="60" t="s">
        <v>20</v>
      </c>
      <c r="C107" s="60" t="s">
        <v>80</v>
      </c>
      <c r="D107" s="61" t="s">
        <v>81</v>
      </c>
      <c r="E107" s="60" t="s">
        <v>55</v>
      </c>
      <c r="F107" s="62">
        <f>CÁLCULO!K317</f>
        <v>0.46799999999999997</v>
      </c>
      <c r="G107" s="266">
        <v>142.28</v>
      </c>
      <c r="H107" s="267">
        <f>G107*1.2979</f>
        <v>184.665212</v>
      </c>
      <c r="I107" s="266">
        <f>F107*G107</f>
        <v>66.58704</v>
      </c>
      <c r="J107" s="266">
        <f>F107*H107</f>
        <v>86.423319216</v>
      </c>
    </row>
    <row r="108" spans="1:10" s="17" customFormat="1" ht="18">
      <c r="A108" s="60" t="s">
        <v>172</v>
      </c>
      <c r="B108" s="60" t="s">
        <v>20</v>
      </c>
      <c r="C108" s="60" t="s">
        <v>71</v>
      </c>
      <c r="D108" s="61" t="s">
        <v>72</v>
      </c>
      <c r="E108" s="60" t="s">
        <v>73</v>
      </c>
      <c r="F108" s="62">
        <f>CÁLCULO!K323</f>
        <v>15.387</v>
      </c>
      <c r="G108" s="266">
        <v>11.25</v>
      </c>
      <c r="H108" s="267">
        <f>G108*1.2979</f>
        <v>14.601375</v>
      </c>
      <c r="I108" s="266">
        <f>F108*G108</f>
        <v>173.10375</v>
      </c>
      <c r="J108" s="266">
        <f>F108*H108</f>
        <v>224.67135712500001</v>
      </c>
    </row>
    <row r="109" spans="1:10" s="17" customFormat="1" ht="18">
      <c r="A109" s="60" t="s">
        <v>173</v>
      </c>
      <c r="B109" s="60" t="s">
        <v>20</v>
      </c>
      <c r="C109" s="60" t="s">
        <v>84</v>
      </c>
      <c r="D109" s="61" t="s">
        <v>85</v>
      </c>
      <c r="E109" s="60" t="s">
        <v>23</v>
      </c>
      <c r="F109" s="62">
        <f>CÁLCULO!K327</f>
        <v>2.37</v>
      </c>
      <c r="G109" s="266">
        <v>88.85</v>
      </c>
      <c r="H109" s="267">
        <f>G109*1.2979</f>
        <v>115.318415</v>
      </c>
      <c r="I109" s="266">
        <f>F109*G109</f>
        <v>210.5745</v>
      </c>
      <c r="J109" s="266">
        <f>F109*H109</f>
        <v>273.30464355000004</v>
      </c>
    </row>
    <row r="110" spans="1:10" s="17" customFormat="1" ht="18">
      <c r="A110" s="270" t="s">
        <v>174</v>
      </c>
      <c r="B110" s="276"/>
      <c r="C110" s="276"/>
      <c r="D110" s="272" t="s">
        <v>87</v>
      </c>
      <c r="E110" s="276"/>
      <c r="F110" s="276"/>
      <c r="G110" s="277"/>
      <c r="H110" s="277"/>
      <c r="I110" s="274">
        <f>SUM(I111:I114)</f>
        <v>937.411595</v>
      </c>
      <c r="J110" s="274">
        <f>SUM(J111:J114)</f>
        <v>1216.6665091505001</v>
      </c>
    </row>
    <row r="111" spans="1:10" s="17" customFormat="1" ht="18">
      <c r="A111" s="60" t="s">
        <v>175</v>
      </c>
      <c r="B111" s="60" t="s">
        <v>20</v>
      </c>
      <c r="C111" s="60" t="s">
        <v>77</v>
      </c>
      <c r="D111" s="61" t="s">
        <v>78</v>
      </c>
      <c r="E111" s="60" t="s">
        <v>55</v>
      </c>
      <c r="F111" s="62">
        <f>CÁLCULO!K332</f>
        <v>0.28025</v>
      </c>
      <c r="G111" s="266">
        <v>416.28</v>
      </c>
      <c r="H111" s="267">
        <f>G111*1.2979</f>
        <v>540.289812</v>
      </c>
      <c r="I111" s="266">
        <f>F111*G111</f>
        <v>116.66247</v>
      </c>
      <c r="J111" s="266">
        <f>F111*H111</f>
        <v>151.416219813</v>
      </c>
    </row>
    <row r="112" spans="1:10" s="17" customFormat="1" ht="18">
      <c r="A112" s="60" t="s">
        <v>176</v>
      </c>
      <c r="B112" s="60" t="s">
        <v>20</v>
      </c>
      <c r="C112" s="60" t="s">
        <v>90</v>
      </c>
      <c r="D112" s="61" t="s">
        <v>91</v>
      </c>
      <c r="E112" s="60" t="s">
        <v>55</v>
      </c>
      <c r="F112" s="62">
        <f>CÁLCULO!K336</f>
        <v>0.28025</v>
      </c>
      <c r="G112" s="266">
        <v>98.28</v>
      </c>
      <c r="H112" s="267">
        <f>G112*1.2979</f>
        <v>127.557612</v>
      </c>
      <c r="I112" s="266">
        <f>F112*G112</f>
        <v>27.54297</v>
      </c>
      <c r="J112" s="266">
        <f>F112*H112</f>
        <v>35.748020763</v>
      </c>
    </row>
    <row r="113" spans="1:10" s="17" customFormat="1" ht="18">
      <c r="A113" s="60" t="s">
        <v>177</v>
      </c>
      <c r="B113" s="60" t="s">
        <v>20</v>
      </c>
      <c r="C113" s="60" t="s">
        <v>71</v>
      </c>
      <c r="D113" s="61" t="s">
        <v>72</v>
      </c>
      <c r="E113" s="60" t="s">
        <v>73</v>
      </c>
      <c r="F113" s="62">
        <f>CÁLCULO!K344</f>
        <v>23.284166666666668</v>
      </c>
      <c r="G113" s="266">
        <v>11.25</v>
      </c>
      <c r="H113" s="267">
        <f>G113*1.2979</f>
        <v>14.601375</v>
      </c>
      <c r="I113" s="266">
        <f>F113*G113</f>
        <v>261.94687500000003</v>
      </c>
      <c r="J113" s="266">
        <f>F113*H113</f>
        <v>339.98084906250006</v>
      </c>
    </row>
    <row r="114" spans="1:10" s="17" customFormat="1" ht="18">
      <c r="A114" s="60" t="s">
        <v>178</v>
      </c>
      <c r="B114" s="60" t="s">
        <v>20</v>
      </c>
      <c r="C114" s="60" t="s">
        <v>94</v>
      </c>
      <c r="D114" s="61" t="s">
        <v>95</v>
      </c>
      <c r="E114" s="60" t="s">
        <v>23</v>
      </c>
      <c r="F114" s="62">
        <f>CÁLCULO!K349</f>
        <v>2.342</v>
      </c>
      <c r="G114" s="266">
        <v>226.84</v>
      </c>
      <c r="H114" s="267">
        <f>G114*1.2979</f>
        <v>294.415636</v>
      </c>
      <c r="I114" s="266">
        <f>F114*G114</f>
        <v>531.25928</v>
      </c>
      <c r="J114" s="266">
        <f>F114*H114</f>
        <v>689.5214195120001</v>
      </c>
    </row>
    <row r="115" spans="1:10" s="17" customFormat="1" ht="18">
      <c r="A115" s="270" t="s">
        <v>179</v>
      </c>
      <c r="B115" s="276"/>
      <c r="C115" s="276"/>
      <c r="D115" s="272" t="s">
        <v>97</v>
      </c>
      <c r="E115" s="276"/>
      <c r="F115" s="276"/>
      <c r="G115" s="277"/>
      <c r="H115" s="277"/>
      <c r="I115" s="274">
        <f>SUM(I116:I119)</f>
        <v>1031.237325</v>
      </c>
      <c r="J115" s="274">
        <f>SUM(J116:J119)</f>
        <v>1338.4429241174998</v>
      </c>
    </row>
    <row r="116" spans="1:10" s="17" customFormat="1" ht="18">
      <c r="A116" s="60" t="s">
        <v>180</v>
      </c>
      <c r="B116" s="60" t="s">
        <v>20</v>
      </c>
      <c r="C116" s="60" t="s">
        <v>77</v>
      </c>
      <c r="D116" s="61" t="s">
        <v>78</v>
      </c>
      <c r="E116" s="60" t="s">
        <v>55</v>
      </c>
      <c r="F116" s="62">
        <f>CÁLCULO!K352</f>
        <v>0.27</v>
      </c>
      <c r="G116" s="266">
        <v>416.28</v>
      </c>
      <c r="H116" s="267">
        <f>G116*1.2979</f>
        <v>540.289812</v>
      </c>
      <c r="I116" s="266">
        <f>F116*G116</f>
        <v>112.3956</v>
      </c>
      <c r="J116" s="266">
        <f>F116*H116</f>
        <v>145.87824924</v>
      </c>
    </row>
    <row r="117" spans="1:10" s="17" customFormat="1" ht="18">
      <c r="A117" s="60" t="s">
        <v>181</v>
      </c>
      <c r="B117" s="60" t="s">
        <v>20</v>
      </c>
      <c r="C117" s="60" t="s">
        <v>90</v>
      </c>
      <c r="D117" s="61" t="s">
        <v>91</v>
      </c>
      <c r="E117" s="60" t="s">
        <v>55</v>
      </c>
      <c r="F117" s="62">
        <f>CÁLCULO!K354</f>
        <v>0.27</v>
      </c>
      <c r="G117" s="266">
        <v>98.28</v>
      </c>
      <c r="H117" s="267">
        <f>G117*1.2979</f>
        <v>127.557612</v>
      </c>
      <c r="I117" s="266">
        <f>F117*G117</f>
        <v>26.535600000000002</v>
      </c>
      <c r="J117" s="266">
        <f>F117*H117</f>
        <v>34.44055524</v>
      </c>
    </row>
    <row r="118" spans="1:10" s="17" customFormat="1" ht="18">
      <c r="A118" s="60" t="s">
        <v>182</v>
      </c>
      <c r="B118" s="60" t="s">
        <v>20</v>
      </c>
      <c r="C118" s="60" t="s">
        <v>71</v>
      </c>
      <c r="D118" s="61" t="s">
        <v>72</v>
      </c>
      <c r="E118" s="60" t="s">
        <v>73</v>
      </c>
      <c r="F118" s="62">
        <f>CÁLCULO!K360</f>
        <v>24.874499999999998</v>
      </c>
      <c r="G118" s="266">
        <v>11.25</v>
      </c>
      <c r="H118" s="267">
        <f>G118*1.2979</f>
        <v>14.601375</v>
      </c>
      <c r="I118" s="266">
        <f>F118*G118</f>
        <v>279.838125</v>
      </c>
      <c r="J118" s="266">
        <f>F118*H118</f>
        <v>363.2019024375</v>
      </c>
    </row>
    <row r="119" spans="1:10" s="17" customFormat="1" ht="18">
      <c r="A119" s="60" t="s">
        <v>183</v>
      </c>
      <c r="B119" s="60" t="s">
        <v>20</v>
      </c>
      <c r="C119" s="60" t="s">
        <v>94</v>
      </c>
      <c r="D119" s="61" t="s">
        <v>95</v>
      </c>
      <c r="E119" s="60" t="s">
        <v>23</v>
      </c>
      <c r="F119" s="62">
        <f>CÁLCULO!K363</f>
        <v>2.6999999999999997</v>
      </c>
      <c r="G119" s="266">
        <v>226.84</v>
      </c>
      <c r="H119" s="267">
        <f>G119*1.2979</f>
        <v>294.415636</v>
      </c>
      <c r="I119" s="266">
        <f>F119*G119</f>
        <v>612.468</v>
      </c>
      <c r="J119" s="266">
        <f>F119*H119</f>
        <v>794.9222172</v>
      </c>
    </row>
    <row r="120" spans="1:10" s="17" customFormat="1" ht="18">
      <c r="A120" s="270" t="s">
        <v>184</v>
      </c>
      <c r="B120" s="276"/>
      <c r="C120" s="276"/>
      <c r="D120" s="272" t="s">
        <v>103</v>
      </c>
      <c r="E120" s="276"/>
      <c r="F120" s="276"/>
      <c r="G120" s="277"/>
      <c r="H120" s="277"/>
      <c r="I120" s="274">
        <f>SUM(I121:I125)</f>
        <v>612.746265</v>
      </c>
      <c r="J120" s="274">
        <f>SUM(J121:J125)</f>
        <v>795.2833773435001</v>
      </c>
    </row>
    <row r="121" spans="1:10" s="17" customFormat="1" ht="18">
      <c r="A121" s="60" t="s">
        <v>185</v>
      </c>
      <c r="B121" s="60" t="s">
        <v>20</v>
      </c>
      <c r="C121" s="60" t="s">
        <v>105</v>
      </c>
      <c r="D121" s="61" t="s">
        <v>106</v>
      </c>
      <c r="E121" s="60" t="s">
        <v>23</v>
      </c>
      <c r="F121" s="62">
        <f>CÁLCULO!K368</f>
        <v>2.25</v>
      </c>
      <c r="G121" s="266">
        <v>83.56</v>
      </c>
      <c r="H121" s="267">
        <f>G121*1.2979</f>
        <v>108.45252400000001</v>
      </c>
      <c r="I121" s="266">
        <f>F121*G121</f>
        <v>188.01</v>
      </c>
      <c r="J121" s="266">
        <f>F121*H121</f>
        <v>244.01817900000003</v>
      </c>
    </row>
    <row r="122" spans="1:10" s="17" customFormat="1" ht="18">
      <c r="A122" s="60" t="s">
        <v>186</v>
      </c>
      <c r="B122" s="60" t="s">
        <v>20</v>
      </c>
      <c r="C122" s="60" t="s">
        <v>108</v>
      </c>
      <c r="D122" s="61" t="s">
        <v>428</v>
      </c>
      <c r="E122" s="60" t="s">
        <v>55</v>
      </c>
      <c r="F122" s="62">
        <f>CÁLCULO!K373</f>
        <v>0.168</v>
      </c>
      <c r="G122" s="266">
        <v>732.23</v>
      </c>
      <c r="H122" s="267">
        <f>G122*1.2979</f>
        <v>950.3613170000001</v>
      </c>
      <c r="I122" s="266">
        <f>F122*G122</f>
        <v>123.01464000000001</v>
      </c>
      <c r="J122" s="266">
        <f>F122*H122</f>
        <v>159.66070125600004</v>
      </c>
    </row>
    <row r="123" spans="1:10" s="17" customFormat="1" ht="18">
      <c r="A123" s="60" t="s">
        <v>187</v>
      </c>
      <c r="B123" s="60" t="s">
        <v>20</v>
      </c>
      <c r="C123" s="60" t="s">
        <v>111</v>
      </c>
      <c r="D123" s="61" t="s">
        <v>112</v>
      </c>
      <c r="E123" s="60" t="s">
        <v>23</v>
      </c>
      <c r="F123" s="62">
        <f>CÁLCULO!K378</f>
        <v>8.4</v>
      </c>
      <c r="G123" s="266">
        <v>6.06</v>
      </c>
      <c r="H123" s="267">
        <f>G123*1.2979</f>
        <v>7.865273999999999</v>
      </c>
      <c r="I123" s="266">
        <f>F123*G123</f>
        <v>50.903999999999996</v>
      </c>
      <c r="J123" s="266">
        <f>F123*H123</f>
        <v>66.0683016</v>
      </c>
    </row>
    <row r="124" spans="1:10" s="17" customFormat="1" ht="18">
      <c r="A124" s="60" t="s">
        <v>188</v>
      </c>
      <c r="B124" s="60" t="s">
        <v>20</v>
      </c>
      <c r="C124" s="60" t="s">
        <v>71</v>
      </c>
      <c r="D124" s="61" t="s">
        <v>72</v>
      </c>
      <c r="E124" s="60" t="s">
        <v>73</v>
      </c>
      <c r="F124" s="62">
        <f>CÁLCULO!K383</f>
        <v>1.5525</v>
      </c>
      <c r="G124" s="266">
        <v>11.25</v>
      </c>
      <c r="H124" s="267">
        <f>G124*1.2979</f>
        <v>14.601375</v>
      </c>
      <c r="I124" s="266">
        <f>F124*G124</f>
        <v>17.465625</v>
      </c>
      <c r="J124" s="266">
        <f>F124*H124</f>
        <v>22.668634687500003</v>
      </c>
    </row>
    <row r="125" spans="1:10" s="17" customFormat="1" ht="18">
      <c r="A125" s="60" t="s">
        <v>189</v>
      </c>
      <c r="B125" s="60" t="s">
        <v>20</v>
      </c>
      <c r="C125" s="60" t="s">
        <v>118</v>
      </c>
      <c r="D125" s="61" t="s">
        <v>119</v>
      </c>
      <c r="E125" s="60" t="s">
        <v>23</v>
      </c>
      <c r="F125" s="62">
        <f>CÁLCULO!K390</f>
        <v>8.4</v>
      </c>
      <c r="G125" s="266">
        <v>27.78</v>
      </c>
      <c r="H125" s="267">
        <f>G125*1.2979</f>
        <v>36.055662000000005</v>
      </c>
      <c r="I125" s="266">
        <f>F125*G125</f>
        <v>233.35200000000003</v>
      </c>
      <c r="J125" s="266">
        <f>F125*H125</f>
        <v>302.86756080000004</v>
      </c>
    </row>
    <row r="126" spans="1:10" s="17" customFormat="1" ht="18">
      <c r="A126" s="270" t="s">
        <v>190</v>
      </c>
      <c r="B126" s="276"/>
      <c r="C126" s="276"/>
      <c r="D126" s="272" t="s">
        <v>121</v>
      </c>
      <c r="E126" s="276"/>
      <c r="F126" s="278"/>
      <c r="G126" s="277"/>
      <c r="H126" s="277"/>
      <c r="I126" s="274">
        <f>SUM(I127:I128)</f>
        <v>324.17280000000005</v>
      </c>
      <c r="J126" s="274">
        <f>SUM(J127:J128)</f>
        <v>420.7438771200001</v>
      </c>
    </row>
    <row r="127" spans="1:10" s="17" customFormat="1" ht="18">
      <c r="A127" s="70" t="s">
        <v>191</v>
      </c>
      <c r="B127" s="60" t="s">
        <v>20</v>
      </c>
      <c r="C127" s="60" t="s">
        <v>77</v>
      </c>
      <c r="D127" s="61" t="s">
        <v>78</v>
      </c>
      <c r="E127" s="60" t="s">
        <v>55</v>
      </c>
      <c r="F127" s="62">
        <f>CÁLCULO!K393</f>
        <v>0.6300000000000001</v>
      </c>
      <c r="G127" s="266">
        <v>416.28</v>
      </c>
      <c r="H127" s="267">
        <f>G127*1.2979</f>
        <v>540.289812</v>
      </c>
      <c r="I127" s="266">
        <f>F127*G127</f>
        <v>262.25640000000004</v>
      </c>
      <c r="J127" s="266">
        <f>F127*H127</f>
        <v>340.38258156000006</v>
      </c>
    </row>
    <row r="128" spans="1:10" s="17" customFormat="1" ht="18">
      <c r="A128" s="70" t="s">
        <v>192</v>
      </c>
      <c r="B128" s="60" t="s">
        <v>20</v>
      </c>
      <c r="C128" s="60" t="s">
        <v>90</v>
      </c>
      <c r="D128" s="61" t="s">
        <v>91</v>
      </c>
      <c r="E128" s="60" t="s">
        <v>55</v>
      </c>
      <c r="F128" s="62">
        <f>CÁLCULO!K395</f>
        <v>0.6300000000000001</v>
      </c>
      <c r="G128" s="266">
        <v>98.28</v>
      </c>
      <c r="H128" s="267">
        <f>G128*1.2979</f>
        <v>127.557612</v>
      </c>
      <c r="I128" s="266">
        <f>F128*G128</f>
        <v>61.91640000000001</v>
      </c>
      <c r="J128" s="266">
        <f>F128*H128</f>
        <v>80.36129556000002</v>
      </c>
    </row>
    <row r="129" spans="1:10" s="17" customFormat="1" ht="18">
      <c r="A129" s="270">
        <v>6</v>
      </c>
      <c r="B129" s="270"/>
      <c r="C129" s="270"/>
      <c r="D129" s="272" t="s">
        <v>193</v>
      </c>
      <c r="E129" s="276"/>
      <c r="F129" s="276"/>
      <c r="G129" s="277"/>
      <c r="H129" s="277"/>
      <c r="I129" s="274"/>
      <c r="J129" s="274"/>
    </row>
    <row r="130" spans="1:10" s="17" customFormat="1" ht="18">
      <c r="A130" s="270" t="s">
        <v>194</v>
      </c>
      <c r="B130" s="276"/>
      <c r="C130" s="270"/>
      <c r="D130" s="272" t="s">
        <v>47</v>
      </c>
      <c r="E130" s="276"/>
      <c r="F130" s="276"/>
      <c r="G130" s="277"/>
      <c r="H130" s="277"/>
      <c r="I130" s="274">
        <f>SUM(I131:I135)</f>
        <v>668.9402148500001</v>
      </c>
      <c r="J130" s="274">
        <f>SUM(J131:J135)</f>
        <v>868.217504853815</v>
      </c>
    </row>
    <row r="131" spans="1:10" s="17" customFormat="1" ht="18">
      <c r="A131" s="60" t="s">
        <v>195</v>
      </c>
      <c r="B131" s="60" t="s">
        <v>20</v>
      </c>
      <c r="C131" s="60" t="s">
        <v>49</v>
      </c>
      <c r="D131" s="61" t="s">
        <v>50</v>
      </c>
      <c r="E131" s="60" t="s">
        <v>51</v>
      </c>
      <c r="F131" s="62">
        <f>CÁLCULO!K403</f>
        <v>4.48</v>
      </c>
      <c r="G131" s="266">
        <v>1.29</v>
      </c>
      <c r="H131" s="267">
        <f>G131*1.2979</f>
        <v>1.6742910000000002</v>
      </c>
      <c r="I131" s="266">
        <f>F131*G131</f>
        <v>5.7792</v>
      </c>
      <c r="J131" s="266">
        <f>F131*H131</f>
        <v>7.500823680000002</v>
      </c>
    </row>
    <row r="132" spans="1:10" s="17" customFormat="1" ht="18">
      <c r="A132" s="60" t="s">
        <v>196</v>
      </c>
      <c r="B132" s="60" t="s">
        <v>20</v>
      </c>
      <c r="C132" s="60" t="s">
        <v>53</v>
      </c>
      <c r="D132" s="61" t="s">
        <v>54</v>
      </c>
      <c r="E132" s="60" t="s">
        <v>55</v>
      </c>
      <c r="F132" s="62">
        <f>CÁLCULO!K407</f>
        <v>0.7616</v>
      </c>
      <c r="G132" s="266">
        <v>185.57</v>
      </c>
      <c r="H132" s="267">
        <f>G132*1.2979</f>
        <v>240.851303</v>
      </c>
      <c r="I132" s="266">
        <f>F132*G132</f>
        <v>141.330112</v>
      </c>
      <c r="J132" s="266">
        <f>F132*H132</f>
        <v>183.4323523648</v>
      </c>
    </row>
    <row r="133" spans="1:10" s="17" customFormat="1" ht="36">
      <c r="A133" s="60" t="s">
        <v>197</v>
      </c>
      <c r="B133" s="60" t="s">
        <v>20</v>
      </c>
      <c r="C133" s="60" t="s">
        <v>57</v>
      </c>
      <c r="D133" s="64" t="s">
        <v>58</v>
      </c>
      <c r="E133" s="60" t="s">
        <v>55</v>
      </c>
      <c r="F133" s="62">
        <f>CÁLCULO!K411</f>
        <v>1.6845</v>
      </c>
      <c r="G133" s="266">
        <v>42.18</v>
      </c>
      <c r="H133" s="267">
        <f>G133*1.2979</f>
        <v>54.745422000000005</v>
      </c>
      <c r="I133" s="266">
        <f>F133*G133</f>
        <v>71.05221</v>
      </c>
      <c r="J133" s="266">
        <f>F133*H133</f>
        <v>92.21866335900002</v>
      </c>
    </row>
    <row r="134" spans="1:10" s="17" customFormat="1" ht="18">
      <c r="A134" s="60" t="s">
        <v>198</v>
      </c>
      <c r="B134" s="60" t="s">
        <v>20</v>
      </c>
      <c r="C134" s="60" t="s">
        <v>60</v>
      </c>
      <c r="D134" s="61" t="s">
        <v>61</v>
      </c>
      <c r="E134" s="60" t="s">
        <v>55</v>
      </c>
      <c r="F134" s="62">
        <f>CÁLCULO!K415</f>
        <v>0.0378</v>
      </c>
      <c r="G134" s="266">
        <v>141.81</v>
      </c>
      <c r="H134" s="267">
        <f>G134*1.2979</f>
        <v>184.05519900000002</v>
      </c>
      <c r="I134" s="266">
        <f>F134*G134</f>
        <v>5.360418</v>
      </c>
      <c r="J134" s="266">
        <f>F134*H134</f>
        <v>6.9572865222</v>
      </c>
    </row>
    <row r="135" spans="1:10" s="14" customFormat="1" ht="36">
      <c r="A135" s="60" t="s">
        <v>199</v>
      </c>
      <c r="B135" s="60" t="s">
        <v>20</v>
      </c>
      <c r="C135" s="60" t="s">
        <v>63</v>
      </c>
      <c r="D135" s="64" t="s">
        <v>64</v>
      </c>
      <c r="E135" s="60" t="s">
        <v>55</v>
      </c>
      <c r="F135" s="62">
        <f>CÁLCULO!K422</f>
        <v>3.9064925</v>
      </c>
      <c r="G135" s="266">
        <v>114.02</v>
      </c>
      <c r="H135" s="267">
        <f>G135*1.2979</f>
        <v>147.986558</v>
      </c>
      <c r="I135" s="266">
        <f>F135*G135</f>
        <v>445.41827485</v>
      </c>
      <c r="J135" s="266">
        <f>F135*H135</f>
        <v>578.108378927815</v>
      </c>
    </row>
    <row r="136" spans="1:10" s="17" customFormat="1" ht="18">
      <c r="A136" s="270" t="s">
        <v>200</v>
      </c>
      <c r="B136" s="270"/>
      <c r="C136" s="276"/>
      <c r="D136" s="272" t="s">
        <v>66</v>
      </c>
      <c r="E136" s="276"/>
      <c r="F136" s="276"/>
      <c r="G136" s="277"/>
      <c r="H136" s="277"/>
      <c r="I136" s="274">
        <f>SUM(I137:I138)</f>
        <v>2331.228</v>
      </c>
      <c r="J136" s="274">
        <f>SUM(J137:J138)</f>
        <v>3025.7008212</v>
      </c>
    </row>
    <row r="137" spans="1:10" s="17" customFormat="1" ht="18">
      <c r="A137" s="60" t="s">
        <v>201</v>
      </c>
      <c r="B137" s="60" t="s">
        <v>20</v>
      </c>
      <c r="C137" s="62" t="s">
        <v>68</v>
      </c>
      <c r="D137" s="61" t="s">
        <v>69</v>
      </c>
      <c r="E137" s="60" t="s">
        <v>51</v>
      </c>
      <c r="F137" s="62">
        <f>CÁLCULO!K425</f>
        <v>21</v>
      </c>
      <c r="G137" s="266">
        <v>67.42</v>
      </c>
      <c r="H137" s="267">
        <f>G137*1.2979</f>
        <v>87.504418</v>
      </c>
      <c r="I137" s="266">
        <f>F137*G137</f>
        <v>1415.82</v>
      </c>
      <c r="J137" s="266">
        <f>F137*H137</f>
        <v>1837.592778</v>
      </c>
    </row>
    <row r="138" spans="1:10" s="17" customFormat="1" ht="18">
      <c r="A138" s="60" t="s">
        <v>202</v>
      </c>
      <c r="B138" s="60" t="s">
        <v>20</v>
      </c>
      <c r="C138" s="60" t="s">
        <v>71</v>
      </c>
      <c r="D138" s="61" t="s">
        <v>72</v>
      </c>
      <c r="E138" s="60" t="s">
        <v>73</v>
      </c>
      <c r="F138" s="62">
        <f>CÁLCULO!K430</f>
        <v>81.36959999999999</v>
      </c>
      <c r="G138" s="266">
        <v>11.25</v>
      </c>
      <c r="H138" s="267">
        <f>G138*1.2979</f>
        <v>14.601375</v>
      </c>
      <c r="I138" s="266">
        <f>F138*G138</f>
        <v>915.4079999999999</v>
      </c>
      <c r="J138" s="266">
        <f>F138*H138</f>
        <v>1188.1080431999999</v>
      </c>
    </row>
    <row r="139" spans="1:10" s="17" customFormat="1" ht="18">
      <c r="A139" s="270" t="s">
        <v>203</v>
      </c>
      <c r="B139" s="276"/>
      <c r="C139" s="276"/>
      <c r="D139" s="272" t="s">
        <v>135</v>
      </c>
      <c r="E139" s="276"/>
      <c r="F139" s="276"/>
      <c r="G139" s="277"/>
      <c r="H139" s="277"/>
      <c r="I139" s="274">
        <f>SUM(I140:I143)</f>
        <v>1747.5667199999998</v>
      </c>
      <c r="J139" s="274">
        <f>SUM(J140:J143)</f>
        <v>2268.166845888</v>
      </c>
    </row>
    <row r="140" spans="1:10" s="17" customFormat="1" ht="18">
      <c r="A140" s="60" t="s">
        <v>204</v>
      </c>
      <c r="B140" s="60" t="s">
        <v>20</v>
      </c>
      <c r="C140" s="60" t="s">
        <v>77</v>
      </c>
      <c r="D140" s="61" t="s">
        <v>78</v>
      </c>
      <c r="E140" s="60" t="s">
        <v>55</v>
      </c>
      <c r="F140" s="62">
        <f>CÁLCULO!K435</f>
        <v>1.242</v>
      </c>
      <c r="G140" s="266">
        <v>416.28</v>
      </c>
      <c r="H140" s="267">
        <f>G140*1.2979</f>
        <v>540.289812</v>
      </c>
      <c r="I140" s="266">
        <f>F140*G140</f>
        <v>517.01976</v>
      </c>
      <c r="J140" s="266">
        <f>F140*H140</f>
        <v>671.039946504</v>
      </c>
    </row>
    <row r="141" spans="1:10" s="17" customFormat="1" ht="18">
      <c r="A141" s="60" t="s">
        <v>205</v>
      </c>
      <c r="B141" s="60" t="s">
        <v>20</v>
      </c>
      <c r="C141" s="60" t="s">
        <v>80</v>
      </c>
      <c r="D141" s="61" t="s">
        <v>81</v>
      </c>
      <c r="E141" s="60" t="s">
        <v>55</v>
      </c>
      <c r="F141" s="62">
        <f>CÁLCULO!K439</f>
        <v>1.242</v>
      </c>
      <c r="G141" s="266">
        <v>142.28</v>
      </c>
      <c r="H141" s="267">
        <f>G141*1.2979</f>
        <v>184.665212</v>
      </c>
      <c r="I141" s="266">
        <f>F141*G141</f>
        <v>176.71176</v>
      </c>
      <c r="J141" s="266">
        <f>F141*H141</f>
        <v>229.354193304</v>
      </c>
    </row>
    <row r="142" spans="1:10" s="17" customFormat="1" ht="18">
      <c r="A142" s="60" t="s">
        <v>206</v>
      </c>
      <c r="B142" s="60" t="s">
        <v>20</v>
      </c>
      <c r="C142" s="60" t="s">
        <v>71</v>
      </c>
      <c r="D142" s="61" t="s">
        <v>72</v>
      </c>
      <c r="E142" s="60" t="s">
        <v>73</v>
      </c>
      <c r="F142" s="62">
        <f>CÁLCULO!K445</f>
        <v>46.05064</v>
      </c>
      <c r="G142" s="266">
        <v>11.25</v>
      </c>
      <c r="H142" s="267">
        <f>G142*1.2979</f>
        <v>14.601375</v>
      </c>
      <c r="I142" s="266">
        <f>F142*G142</f>
        <v>518.0697</v>
      </c>
      <c r="J142" s="266">
        <f>F142*H142</f>
        <v>672.40266363</v>
      </c>
    </row>
    <row r="143" spans="1:10" s="17" customFormat="1" ht="18">
      <c r="A143" s="60" t="s">
        <v>207</v>
      </c>
      <c r="B143" s="60" t="s">
        <v>20</v>
      </c>
      <c r="C143" s="60" t="s">
        <v>84</v>
      </c>
      <c r="D143" s="61" t="s">
        <v>85</v>
      </c>
      <c r="E143" s="60" t="s">
        <v>23</v>
      </c>
      <c r="F143" s="62">
        <f>CÁLCULO!K449</f>
        <v>6.029999999999999</v>
      </c>
      <c r="G143" s="266">
        <v>88.85</v>
      </c>
      <c r="H143" s="267">
        <f>G143*1.2979</f>
        <v>115.318415</v>
      </c>
      <c r="I143" s="266">
        <f>F143*G143</f>
        <v>535.7654999999999</v>
      </c>
      <c r="J143" s="266">
        <f>F143*H143</f>
        <v>695.3700424499999</v>
      </c>
    </row>
    <row r="144" spans="1:10" s="17" customFormat="1" ht="18">
      <c r="A144" s="270" t="s">
        <v>208</v>
      </c>
      <c r="B144" s="276"/>
      <c r="C144" s="276"/>
      <c r="D144" s="272" t="s">
        <v>87</v>
      </c>
      <c r="E144" s="276"/>
      <c r="F144" s="276"/>
      <c r="G144" s="277"/>
      <c r="H144" s="277"/>
      <c r="I144" s="274">
        <f>SUM(I145:I148)</f>
        <v>2322.3152849999997</v>
      </c>
      <c r="J144" s="274">
        <f>SUM(J145:J148)</f>
        <v>3014.1330084015003</v>
      </c>
    </row>
    <row r="145" spans="1:10" s="17" customFormat="1" ht="18">
      <c r="A145" s="60" t="s">
        <v>209</v>
      </c>
      <c r="B145" s="60" t="s">
        <v>20</v>
      </c>
      <c r="C145" s="60" t="s">
        <v>77</v>
      </c>
      <c r="D145" s="61" t="s">
        <v>78</v>
      </c>
      <c r="E145" s="60" t="s">
        <v>55</v>
      </c>
      <c r="F145" s="62">
        <f>CÁLCULO!K454</f>
        <v>0.673875</v>
      </c>
      <c r="G145" s="266">
        <v>416.28</v>
      </c>
      <c r="H145" s="267">
        <f>G145*1.2979</f>
        <v>540.289812</v>
      </c>
      <c r="I145" s="266">
        <f>F145*G145</f>
        <v>280.52068499999996</v>
      </c>
      <c r="J145" s="266">
        <f>F145*H145</f>
        <v>364.0877970615</v>
      </c>
    </row>
    <row r="146" spans="1:10" s="17" customFormat="1" ht="18">
      <c r="A146" s="60" t="s">
        <v>210</v>
      </c>
      <c r="B146" s="60" t="s">
        <v>20</v>
      </c>
      <c r="C146" s="60" t="s">
        <v>90</v>
      </c>
      <c r="D146" s="61" t="s">
        <v>91</v>
      </c>
      <c r="E146" s="60" t="s">
        <v>55</v>
      </c>
      <c r="F146" s="62">
        <f>CÁLCULO!K458</f>
        <v>0.673875</v>
      </c>
      <c r="G146" s="266">
        <v>98.28</v>
      </c>
      <c r="H146" s="267">
        <f>G146*1.2979</f>
        <v>127.557612</v>
      </c>
      <c r="I146" s="266">
        <f>F146*G146</f>
        <v>66.228435</v>
      </c>
      <c r="J146" s="266">
        <f>F146*H146</f>
        <v>85.9578857865</v>
      </c>
    </row>
    <row r="147" spans="1:10" s="17" customFormat="1" ht="18">
      <c r="A147" s="60" t="s">
        <v>211</v>
      </c>
      <c r="B147" s="60" t="s">
        <v>20</v>
      </c>
      <c r="C147" s="60" t="s">
        <v>71</v>
      </c>
      <c r="D147" s="61" t="s">
        <v>72</v>
      </c>
      <c r="E147" s="60" t="s">
        <v>73</v>
      </c>
      <c r="F147" s="62">
        <f>CÁLCULO!K467</f>
        <v>66.6017</v>
      </c>
      <c r="G147" s="266">
        <v>11.25</v>
      </c>
      <c r="H147" s="267">
        <f>G147*1.2979</f>
        <v>14.601375</v>
      </c>
      <c r="I147" s="266">
        <f>F147*G147</f>
        <v>749.2691249999999</v>
      </c>
      <c r="J147" s="266">
        <f>F147*H147</f>
        <v>972.4763973375</v>
      </c>
    </row>
    <row r="148" spans="1:10" s="17" customFormat="1" ht="18">
      <c r="A148" s="60" t="s">
        <v>212</v>
      </c>
      <c r="B148" s="60" t="s">
        <v>20</v>
      </c>
      <c r="C148" s="60" t="s">
        <v>94</v>
      </c>
      <c r="D148" s="61" t="s">
        <v>95</v>
      </c>
      <c r="E148" s="60" t="s">
        <v>23</v>
      </c>
      <c r="F148" s="62">
        <f>CÁLCULO!K472</f>
        <v>5.406000000000001</v>
      </c>
      <c r="G148" s="266">
        <v>226.84</v>
      </c>
      <c r="H148" s="267">
        <f>G148*1.2979</f>
        <v>294.415636</v>
      </c>
      <c r="I148" s="266">
        <f>F148*G148</f>
        <v>1226.2970400000002</v>
      </c>
      <c r="J148" s="266">
        <f>F148*H148</f>
        <v>1591.6109282160003</v>
      </c>
    </row>
    <row r="149" spans="1:10" s="17" customFormat="1" ht="18">
      <c r="A149" s="270" t="s">
        <v>213</v>
      </c>
      <c r="B149" s="276"/>
      <c r="C149" s="276"/>
      <c r="D149" s="272" t="s">
        <v>97</v>
      </c>
      <c r="E149" s="276"/>
      <c r="F149" s="276"/>
      <c r="G149" s="277"/>
      <c r="H149" s="277"/>
      <c r="I149" s="274">
        <f>SUM(I150:I153)</f>
        <v>2247.229824</v>
      </c>
      <c r="J149" s="274">
        <f>SUM(J150:J153)</f>
        <v>2916.6795885696</v>
      </c>
    </row>
    <row r="150" spans="1:10" s="17" customFormat="1" ht="18">
      <c r="A150" s="60" t="s">
        <v>214</v>
      </c>
      <c r="B150" s="60" t="s">
        <v>20</v>
      </c>
      <c r="C150" s="60" t="s">
        <v>77</v>
      </c>
      <c r="D150" s="61" t="s">
        <v>78</v>
      </c>
      <c r="E150" s="60" t="s">
        <v>55</v>
      </c>
      <c r="F150" s="62">
        <f>CÁLCULO!K475</f>
        <v>0.8064000000000001</v>
      </c>
      <c r="G150" s="266">
        <v>416.28</v>
      </c>
      <c r="H150" s="267">
        <f>G150*1.2979</f>
        <v>540.289812</v>
      </c>
      <c r="I150" s="266">
        <f>F150*G150</f>
        <v>335.688192</v>
      </c>
      <c r="J150" s="266">
        <f>F150*H150</f>
        <v>435.68970439680004</v>
      </c>
    </row>
    <row r="151" spans="1:10" s="17" customFormat="1" ht="18">
      <c r="A151" s="60" t="s">
        <v>215</v>
      </c>
      <c r="B151" s="60" t="s">
        <v>20</v>
      </c>
      <c r="C151" s="60" t="s">
        <v>90</v>
      </c>
      <c r="D151" s="61" t="s">
        <v>91</v>
      </c>
      <c r="E151" s="60" t="s">
        <v>55</v>
      </c>
      <c r="F151" s="62">
        <f>CÁLCULO!K477</f>
        <v>0.8064000000000001</v>
      </c>
      <c r="G151" s="266">
        <v>98.28</v>
      </c>
      <c r="H151" s="267">
        <f>G151*1.2979</f>
        <v>127.557612</v>
      </c>
      <c r="I151" s="266">
        <f>F151*G151</f>
        <v>79.252992</v>
      </c>
      <c r="J151" s="266">
        <f>F151*H151</f>
        <v>102.86245831680002</v>
      </c>
    </row>
    <row r="152" spans="1:10" s="17" customFormat="1" ht="18">
      <c r="A152" s="60" t="s">
        <v>216</v>
      </c>
      <c r="B152" s="60" t="s">
        <v>20</v>
      </c>
      <c r="C152" s="60" t="s">
        <v>71</v>
      </c>
      <c r="D152" s="61" t="s">
        <v>72</v>
      </c>
      <c r="E152" s="60" t="s">
        <v>73</v>
      </c>
      <c r="F152" s="62">
        <f>CÁLCULO!K482</f>
        <v>54.470826666666674</v>
      </c>
      <c r="G152" s="266">
        <v>11.25</v>
      </c>
      <c r="H152" s="267">
        <f>G152*1.2979</f>
        <v>14.601375</v>
      </c>
      <c r="I152" s="266">
        <f>F152*G152</f>
        <v>612.7968000000001</v>
      </c>
      <c r="J152" s="266">
        <f>F152*H152</f>
        <v>795.3489667200001</v>
      </c>
    </row>
    <row r="153" spans="1:10" s="17" customFormat="1" ht="18">
      <c r="A153" s="60" t="s">
        <v>217</v>
      </c>
      <c r="B153" s="60" t="s">
        <v>20</v>
      </c>
      <c r="C153" s="60" t="s">
        <v>94</v>
      </c>
      <c r="D153" s="61" t="s">
        <v>95</v>
      </c>
      <c r="E153" s="60" t="s">
        <v>23</v>
      </c>
      <c r="F153" s="62">
        <f>CÁLCULO!K485</f>
        <v>5.376</v>
      </c>
      <c r="G153" s="266">
        <v>226.84</v>
      </c>
      <c r="H153" s="267">
        <f>G153*1.2979</f>
        <v>294.415636</v>
      </c>
      <c r="I153" s="266">
        <f>F153*G153</f>
        <v>1219.4918400000001</v>
      </c>
      <c r="J153" s="266">
        <f>F153*H153</f>
        <v>1582.778459136</v>
      </c>
    </row>
    <row r="154" spans="1:10" s="17" customFormat="1" ht="18">
      <c r="A154" s="270" t="s">
        <v>218</v>
      </c>
      <c r="B154" s="276"/>
      <c r="C154" s="276"/>
      <c r="D154" s="272" t="s">
        <v>103</v>
      </c>
      <c r="E154" s="276"/>
      <c r="F154" s="276"/>
      <c r="G154" s="277"/>
      <c r="H154" s="277"/>
      <c r="I154" s="274">
        <f>SUM(I155:I159)</f>
        <v>1649.3995200000002</v>
      </c>
      <c r="J154" s="274">
        <f>SUM(J155:J159)</f>
        <v>2140.755637008001</v>
      </c>
    </row>
    <row r="155" spans="1:10" s="17" customFormat="1" ht="18">
      <c r="A155" s="60" t="s">
        <v>219</v>
      </c>
      <c r="B155" s="60" t="s">
        <v>20</v>
      </c>
      <c r="C155" s="60" t="s">
        <v>105</v>
      </c>
      <c r="D155" s="61" t="s">
        <v>106</v>
      </c>
      <c r="E155" s="60" t="s">
        <v>23</v>
      </c>
      <c r="F155" s="62">
        <f>CÁLCULO!K490</f>
        <v>6.208000000000001</v>
      </c>
      <c r="G155" s="266">
        <v>83.56</v>
      </c>
      <c r="H155" s="267">
        <f>G155*1.2979</f>
        <v>108.45252400000001</v>
      </c>
      <c r="I155" s="266">
        <f>F155*G155</f>
        <v>518.74048</v>
      </c>
      <c r="J155" s="266">
        <f>F155*H155</f>
        <v>673.2732689920002</v>
      </c>
    </row>
    <row r="156" spans="1:10" s="17" customFormat="1" ht="18">
      <c r="A156" s="60" t="s">
        <v>220</v>
      </c>
      <c r="B156" s="60" t="s">
        <v>20</v>
      </c>
      <c r="C156" s="60" t="s">
        <v>108</v>
      </c>
      <c r="D156" s="61" t="s">
        <v>428</v>
      </c>
      <c r="E156" s="60" t="s">
        <v>55</v>
      </c>
      <c r="F156" s="62">
        <f>CÁLCULO!K495</f>
        <v>0.44800000000000006</v>
      </c>
      <c r="G156" s="266">
        <v>732.23</v>
      </c>
      <c r="H156" s="267">
        <f>G156*1.2979</f>
        <v>950.3613170000001</v>
      </c>
      <c r="I156" s="266">
        <f>F156*G156</f>
        <v>328.03904000000006</v>
      </c>
      <c r="J156" s="266">
        <f>F156*H156</f>
        <v>425.7618700160001</v>
      </c>
    </row>
    <row r="157" spans="1:10" s="17" customFormat="1" ht="18">
      <c r="A157" s="60" t="s">
        <v>221</v>
      </c>
      <c r="B157" s="60" t="s">
        <v>20</v>
      </c>
      <c r="C157" s="60" t="s">
        <v>111</v>
      </c>
      <c r="D157" s="61" t="s">
        <v>112</v>
      </c>
      <c r="E157" s="60" t="s">
        <v>23</v>
      </c>
      <c r="F157" s="62">
        <f>CÁLCULO!K500</f>
        <v>22.400000000000006</v>
      </c>
      <c r="G157" s="266">
        <v>6.06</v>
      </c>
      <c r="H157" s="267">
        <f>G157*1.2979</f>
        <v>7.865273999999999</v>
      </c>
      <c r="I157" s="266">
        <f>F157*G157</f>
        <v>135.74400000000003</v>
      </c>
      <c r="J157" s="266">
        <f>F157*H157</f>
        <v>176.18213760000003</v>
      </c>
    </row>
    <row r="158" spans="1:10" s="17" customFormat="1" ht="18">
      <c r="A158" s="60" t="s">
        <v>222</v>
      </c>
      <c r="B158" s="60" t="s">
        <v>20</v>
      </c>
      <c r="C158" s="60" t="s">
        <v>71</v>
      </c>
      <c r="D158" s="61" t="s">
        <v>72</v>
      </c>
      <c r="E158" s="60" t="s">
        <v>73</v>
      </c>
      <c r="F158" s="62">
        <f>CÁLCULO!K504</f>
        <v>3.9648000000000003</v>
      </c>
      <c r="G158" s="266">
        <v>11.25</v>
      </c>
      <c r="H158" s="267">
        <f>G158*1.2979</f>
        <v>14.601375</v>
      </c>
      <c r="I158" s="266">
        <f>F158*G158</f>
        <v>44.604000000000006</v>
      </c>
      <c r="J158" s="266">
        <f>F158*H158</f>
        <v>57.89153160000001</v>
      </c>
    </row>
    <row r="159" spans="1:10" s="17" customFormat="1" ht="18">
      <c r="A159" s="60" t="s">
        <v>223</v>
      </c>
      <c r="B159" s="60" t="s">
        <v>20</v>
      </c>
      <c r="C159" s="60" t="s">
        <v>118</v>
      </c>
      <c r="D159" s="61" t="s">
        <v>119</v>
      </c>
      <c r="E159" s="60" t="s">
        <v>23</v>
      </c>
      <c r="F159" s="62">
        <f>CÁLCULO!K511</f>
        <v>22.400000000000006</v>
      </c>
      <c r="G159" s="266">
        <v>27.78</v>
      </c>
      <c r="H159" s="267">
        <f>G159*1.2979</f>
        <v>36.055662000000005</v>
      </c>
      <c r="I159" s="266">
        <f>F159*G159</f>
        <v>622.2720000000002</v>
      </c>
      <c r="J159" s="266">
        <f>F159*H159</f>
        <v>807.6468288000003</v>
      </c>
    </row>
    <row r="160" spans="1:10" s="17" customFormat="1" ht="18">
      <c r="A160" s="270" t="s">
        <v>224</v>
      </c>
      <c r="B160" s="276"/>
      <c r="C160" s="276"/>
      <c r="D160" s="272" t="s">
        <v>121</v>
      </c>
      <c r="E160" s="276"/>
      <c r="F160" s="278"/>
      <c r="G160" s="277"/>
      <c r="H160" s="277"/>
      <c r="I160" s="274">
        <f>SUM(I161:I162)</f>
        <v>829.882368</v>
      </c>
      <c r="J160" s="274">
        <f>SUM(J161:J162)</f>
        <v>1077.1043254272001</v>
      </c>
    </row>
    <row r="161" spans="1:10" s="17" customFormat="1" ht="18">
      <c r="A161" s="60" t="s">
        <v>225</v>
      </c>
      <c r="B161" s="60" t="s">
        <v>20</v>
      </c>
      <c r="C161" s="60" t="s">
        <v>77</v>
      </c>
      <c r="D161" s="61" t="s">
        <v>78</v>
      </c>
      <c r="E161" s="60" t="s">
        <v>55</v>
      </c>
      <c r="F161" s="62">
        <f>CÁLCULO!K514</f>
        <v>1.6128000000000002</v>
      </c>
      <c r="G161" s="266">
        <v>416.28</v>
      </c>
      <c r="H161" s="267">
        <f>G161*1.2979</f>
        <v>540.289812</v>
      </c>
      <c r="I161" s="266">
        <f>F161*G161</f>
        <v>671.376384</v>
      </c>
      <c r="J161" s="266">
        <f>F161*H161</f>
        <v>871.3794087936001</v>
      </c>
    </row>
    <row r="162" spans="1:10" s="17" customFormat="1" ht="18">
      <c r="A162" s="60" t="s">
        <v>226</v>
      </c>
      <c r="B162" s="60" t="s">
        <v>20</v>
      </c>
      <c r="C162" s="60" t="s">
        <v>90</v>
      </c>
      <c r="D162" s="61" t="s">
        <v>91</v>
      </c>
      <c r="E162" s="60" t="s">
        <v>55</v>
      </c>
      <c r="F162" s="62">
        <f>CÁLCULO!K516</f>
        <v>1.6128000000000002</v>
      </c>
      <c r="G162" s="266">
        <v>98.28</v>
      </c>
      <c r="H162" s="267">
        <f>G162*1.2979</f>
        <v>127.557612</v>
      </c>
      <c r="I162" s="266">
        <f>F162*G162</f>
        <v>158.505984</v>
      </c>
      <c r="J162" s="266">
        <f>F162*H162</f>
        <v>205.72491663360003</v>
      </c>
    </row>
    <row r="163" spans="1:10" s="17" customFormat="1" ht="18">
      <c r="A163" s="270">
        <v>7</v>
      </c>
      <c r="B163" s="270"/>
      <c r="C163" s="270"/>
      <c r="D163" s="272" t="s">
        <v>227</v>
      </c>
      <c r="E163" s="276"/>
      <c r="F163" s="276"/>
      <c r="G163" s="277"/>
      <c r="H163" s="277"/>
      <c r="I163" s="274"/>
      <c r="J163" s="274"/>
    </row>
    <row r="164" spans="1:10" s="17" customFormat="1" ht="18">
      <c r="A164" s="270" t="s">
        <v>228</v>
      </c>
      <c r="B164" s="276"/>
      <c r="C164" s="270"/>
      <c r="D164" s="272" t="s">
        <v>47</v>
      </c>
      <c r="E164" s="276"/>
      <c r="F164" s="276"/>
      <c r="G164" s="277"/>
      <c r="H164" s="277"/>
      <c r="I164" s="274">
        <f>SUM(I165:I169)</f>
        <v>414.420343</v>
      </c>
      <c r="J164" s="274">
        <f>SUM(J165:J169)</f>
        <v>537.8761631797</v>
      </c>
    </row>
    <row r="165" spans="1:10" s="17" customFormat="1" ht="18">
      <c r="A165" s="60" t="s">
        <v>229</v>
      </c>
      <c r="B165" s="60" t="s">
        <v>20</v>
      </c>
      <c r="C165" s="60" t="s">
        <v>49</v>
      </c>
      <c r="D165" s="61" t="s">
        <v>50</v>
      </c>
      <c r="E165" s="60" t="s">
        <v>51</v>
      </c>
      <c r="F165" s="62">
        <f>CÁLCULO!K524</f>
        <v>3</v>
      </c>
      <c r="G165" s="266">
        <v>1.29</v>
      </c>
      <c r="H165" s="267">
        <f>G165*1.2979</f>
        <v>1.6742910000000002</v>
      </c>
      <c r="I165" s="266">
        <f>F165*G165</f>
        <v>3.87</v>
      </c>
      <c r="J165" s="266">
        <f>F165*H165</f>
        <v>5.022873000000001</v>
      </c>
    </row>
    <row r="166" spans="1:10" s="17" customFormat="1" ht="18">
      <c r="A166" s="60" t="s">
        <v>230</v>
      </c>
      <c r="B166" s="60" t="s">
        <v>20</v>
      </c>
      <c r="C166" s="60" t="s">
        <v>53</v>
      </c>
      <c r="D166" s="61" t="s">
        <v>54</v>
      </c>
      <c r="E166" s="60" t="s">
        <v>55</v>
      </c>
      <c r="F166" s="62">
        <f>CÁLCULO!K528</f>
        <v>0.48060000000000014</v>
      </c>
      <c r="G166" s="266">
        <v>185.57</v>
      </c>
      <c r="H166" s="267">
        <f>G166*1.2979</f>
        <v>240.851303</v>
      </c>
      <c r="I166" s="266">
        <f>F166*G166</f>
        <v>89.18494200000002</v>
      </c>
      <c r="J166" s="266">
        <f>F166*H166</f>
        <v>115.75313622180003</v>
      </c>
    </row>
    <row r="167" spans="1:10" s="17" customFormat="1" ht="36">
      <c r="A167" s="60" t="s">
        <v>231</v>
      </c>
      <c r="B167" s="60" t="s">
        <v>20</v>
      </c>
      <c r="C167" s="60" t="s">
        <v>57</v>
      </c>
      <c r="D167" s="64" t="s">
        <v>58</v>
      </c>
      <c r="E167" s="60" t="s">
        <v>55</v>
      </c>
      <c r="F167" s="62">
        <f>CÁLCULO!K532</f>
        <v>1.0010000000000001</v>
      </c>
      <c r="G167" s="266">
        <v>42.18</v>
      </c>
      <c r="H167" s="267">
        <f>G167*1.2979</f>
        <v>54.745422000000005</v>
      </c>
      <c r="I167" s="266">
        <f>F167*G167</f>
        <v>42.22218</v>
      </c>
      <c r="J167" s="266">
        <f>F167*H167</f>
        <v>54.80016742200001</v>
      </c>
    </row>
    <row r="168" spans="1:10" s="17" customFormat="1" ht="18">
      <c r="A168" s="60" t="s">
        <v>232</v>
      </c>
      <c r="B168" s="60" t="s">
        <v>20</v>
      </c>
      <c r="C168" s="60" t="s">
        <v>60</v>
      </c>
      <c r="D168" s="61" t="s">
        <v>61</v>
      </c>
      <c r="E168" s="60" t="s">
        <v>55</v>
      </c>
      <c r="F168" s="62">
        <f>CÁLCULO!K536</f>
        <v>0.0486</v>
      </c>
      <c r="G168" s="266">
        <v>141.81</v>
      </c>
      <c r="H168" s="267">
        <f>G168*1.2979</f>
        <v>184.05519900000002</v>
      </c>
      <c r="I168" s="266">
        <f>F168*G168</f>
        <v>6.891966</v>
      </c>
      <c r="J168" s="266">
        <f>F168*H168</f>
        <v>8.9450826714</v>
      </c>
    </row>
    <row r="169" spans="1:10" s="14" customFormat="1" ht="36">
      <c r="A169" s="60" t="s">
        <v>233</v>
      </c>
      <c r="B169" s="60" t="s">
        <v>20</v>
      </c>
      <c r="C169" s="60" t="s">
        <v>63</v>
      </c>
      <c r="D169" s="64" t="s">
        <v>64</v>
      </c>
      <c r="E169" s="60" t="s">
        <v>55</v>
      </c>
      <c r="F169" s="62">
        <f>CÁLCULO!K543</f>
        <v>2.38775</v>
      </c>
      <c r="G169" s="266">
        <v>114.02</v>
      </c>
      <c r="H169" s="267">
        <f>G169*1.2979</f>
        <v>147.986558</v>
      </c>
      <c r="I169" s="266">
        <f>F169*G169</f>
        <v>272.251255</v>
      </c>
      <c r="J169" s="266">
        <f>F169*H169</f>
        <v>353.3549038645</v>
      </c>
    </row>
    <row r="170" spans="1:10" s="17" customFormat="1" ht="18">
      <c r="A170" s="270" t="s">
        <v>234</v>
      </c>
      <c r="B170" s="270"/>
      <c r="C170" s="276"/>
      <c r="D170" s="272" t="s">
        <v>66</v>
      </c>
      <c r="E170" s="276"/>
      <c r="F170" s="276"/>
      <c r="G170" s="277"/>
      <c r="H170" s="277"/>
      <c r="I170" s="274">
        <f>SUM(I171:I172)</f>
        <v>1463.5460000000003</v>
      </c>
      <c r="J170" s="274">
        <f>SUM(J171:J172)</f>
        <v>1899.5363534000003</v>
      </c>
    </row>
    <row r="171" spans="1:10" s="17" customFormat="1" ht="18">
      <c r="A171" s="60" t="s">
        <v>235</v>
      </c>
      <c r="B171" s="60" t="s">
        <v>20</v>
      </c>
      <c r="C171" s="62" t="s">
        <v>68</v>
      </c>
      <c r="D171" s="61" t="s">
        <v>69</v>
      </c>
      <c r="E171" s="60" t="s">
        <v>51</v>
      </c>
      <c r="F171" s="62">
        <f>CÁLCULO!K546</f>
        <v>12.8</v>
      </c>
      <c r="G171" s="266">
        <v>67.42</v>
      </c>
      <c r="H171" s="267">
        <f>G171*1.2979</f>
        <v>87.504418</v>
      </c>
      <c r="I171" s="266">
        <f>F171*G171</f>
        <v>862.9760000000001</v>
      </c>
      <c r="J171" s="266">
        <f>F171*H171</f>
        <v>1120.0565504</v>
      </c>
    </row>
    <row r="172" spans="1:10" s="17" customFormat="1" ht="18">
      <c r="A172" s="60" t="s">
        <v>236</v>
      </c>
      <c r="B172" s="60" t="s">
        <v>20</v>
      </c>
      <c r="C172" s="60" t="s">
        <v>71</v>
      </c>
      <c r="D172" s="61" t="s">
        <v>72</v>
      </c>
      <c r="E172" s="60" t="s">
        <v>73</v>
      </c>
      <c r="F172" s="62">
        <f>CÁLCULO!K551</f>
        <v>53.384</v>
      </c>
      <c r="G172" s="266">
        <v>11.25</v>
      </c>
      <c r="H172" s="267">
        <f>G172*1.2979</f>
        <v>14.601375</v>
      </c>
      <c r="I172" s="266">
        <f>F172*G172</f>
        <v>600.57</v>
      </c>
      <c r="J172" s="266">
        <f>F172*H172</f>
        <v>779.4798030000001</v>
      </c>
    </row>
    <row r="173" spans="1:10" s="17" customFormat="1" ht="18">
      <c r="A173" s="270" t="s">
        <v>237</v>
      </c>
      <c r="B173" s="276"/>
      <c r="C173" s="276"/>
      <c r="D173" s="272" t="s">
        <v>135</v>
      </c>
      <c r="E173" s="276"/>
      <c r="F173" s="276"/>
      <c r="G173" s="277"/>
      <c r="H173" s="277"/>
      <c r="I173" s="274">
        <f>SUM(I174:I177)</f>
        <v>1265.18856</v>
      </c>
      <c r="J173" s="274">
        <f>SUM(J174:J177)</f>
        <v>1642.0882320239998</v>
      </c>
    </row>
    <row r="174" spans="1:10" s="17" customFormat="1" ht="18">
      <c r="A174" s="60" t="s">
        <v>238</v>
      </c>
      <c r="B174" s="60" t="s">
        <v>20</v>
      </c>
      <c r="C174" s="60" t="s">
        <v>77</v>
      </c>
      <c r="D174" s="61" t="s">
        <v>78</v>
      </c>
      <c r="E174" s="60" t="s">
        <v>55</v>
      </c>
      <c r="F174" s="62">
        <f>CÁLCULO!K556</f>
        <v>0.726</v>
      </c>
      <c r="G174" s="266">
        <v>416.28</v>
      </c>
      <c r="H174" s="267">
        <f>G174*1.2979</f>
        <v>540.289812</v>
      </c>
      <c r="I174" s="266">
        <f>F174*G174</f>
        <v>302.21927999999997</v>
      </c>
      <c r="J174" s="266">
        <f>F174*H174</f>
        <v>392.250403512</v>
      </c>
    </row>
    <row r="175" spans="1:10" s="17" customFormat="1" ht="18">
      <c r="A175" s="60" t="s">
        <v>239</v>
      </c>
      <c r="B175" s="60" t="s">
        <v>20</v>
      </c>
      <c r="C175" s="60" t="s">
        <v>80</v>
      </c>
      <c r="D175" s="61" t="s">
        <v>81</v>
      </c>
      <c r="E175" s="60" t="s">
        <v>55</v>
      </c>
      <c r="F175" s="62">
        <f>CÁLCULO!K560</f>
        <v>0.726</v>
      </c>
      <c r="G175" s="266">
        <v>142.28</v>
      </c>
      <c r="H175" s="267">
        <f>G175*1.2979</f>
        <v>184.665212</v>
      </c>
      <c r="I175" s="266">
        <f>F175*G175</f>
        <v>103.29527999999999</v>
      </c>
      <c r="J175" s="266">
        <f>F175*H175</f>
        <v>134.066943912</v>
      </c>
    </row>
    <row r="176" spans="1:10" s="17" customFormat="1" ht="18">
      <c r="A176" s="60" t="s">
        <v>240</v>
      </c>
      <c r="B176" s="60" t="s">
        <v>20</v>
      </c>
      <c r="C176" s="60" t="s">
        <v>71</v>
      </c>
      <c r="D176" s="61" t="s">
        <v>72</v>
      </c>
      <c r="E176" s="60" t="s">
        <v>73</v>
      </c>
      <c r="F176" s="62">
        <f>CÁLCULO!K566</f>
        <v>28.79186666666667</v>
      </c>
      <c r="G176" s="266">
        <v>11.25</v>
      </c>
      <c r="H176" s="267">
        <f>G176*1.2979</f>
        <v>14.601375</v>
      </c>
      <c r="I176" s="266">
        <f>F176*G176</f>
        <v>323.90850000000006</v>
      </c>
      <c r="J176" s="266">
        <f>F176*H176</f>
        <v>420.4008421500001</v>
      </c>
    </row>
    <row r="177" spans="1:10" s="17" customFormat="1" ht="18">
      <c r="A177" s="60" t="s">
        <v>241</v>
      </c>
      <c r="B177" s="60" t="s">
        <v>20</v>
      </c>
      <c r="C177" s="60" t="s">
        <v>84</v>
      </c>
      <c r="D177" s="61" t="s">
        <v>85</v>
      </c>
      <c r="E177" s="60" t="s">
        <v>23</v>
      </c>
      <c r="F177" s="62">
        <f>CÁLCULO!K570</f>
        <v>6.029999999999999</v>
      </c>
      <c r="G177" s="266">
        <v>88.85</v>
      </c>
      <c r="H177" s="267">
        <f>G177*1.2979</f>
        <v>115.318415</v>
      </c>
      <c r="I177" s="266">
        <f>F177*G177</f>
        <v>535.7654999999999</v>
      </c>
      <c r="J177" s="266">
        <f>F177*H177</f>
        <v>695.3700424499999</v>
      </c>
    </row>
    <row r="178" spans="1:10" s="17" customFormat="1" ht="18">
      <c r="A178" s="270" t="s">
        <v>242</v>
      </c>
      <c r="B178" s="276"/>
      <c r="C178" s="276"/>
      <c r="D178" s="272" t="s">
        <v>87</v>
      </c>
      <c r="E178" s="276"/>
      <c r="F178" s="276"/>
      <c r="G178" s="277"/>
      <c r="H178" s="277"/>
      <c r="I178" s="274">
        <f>SUM(I179:I182)</f>
        <v>987.5741399999999</v>
      </c>
      <c r="J178" s="274">
        <f>SUM(J179:J182)</f>
        <v>1281.772476306</v>
      </c>
    </row>
    <row r="179" spans="1:10" s="17" customFormat="1" ht="18">
      <c r="A179" s="60" t="s">
        <v>243</v>
      </c>
      <c r="B179" s="60" t="s">
        <v>20</v>
      </c>
      <c r="C179" s="60" t="s">
        <v>77</v>
      </c>
      <c r="D179" s="61" t="s">
        <v>78</v>
      </c>
      <c r="E179" s="60" t="s">
        <v>55</v>
      </c>
      <c r="F179" s="62">
        <f>CÁLCULO!K575</f>
        <v>0.294</v>
      </c>
      <c r="G179" s="266">
        <v>416.28</v>
      </c>
      <c r="H179" s="267">
        <f>G179*1.2979</f>
        <v>540.289812</v>
      </c>
      <c r="I179" s="266">
        <f>F179*G179</f>
        <v>122.38631999999998</v>
      </c>
      <c r="J179" s="266">
        <f>F179*H179</f>
        <v>158.845204728</v>
      </c>
    </row>
    <row r="180" spans="1:10" s="17" customFormat="1" ht="18">
      <c r="A180" s="60" t="s">
        <v>244</v>
      </c>
      <c r="B180" s="60" t="s">
        <v>20</v>
      </c>
      <c r="C180" s="60" t="s">
        <v>90</v>
      </c>
      <c r="D180" s="61" t="s">
        <v>91</v>
      </c>
      <c r="E180" s="60" t="s">
        <v>55</v>
      </c>
      <c r="F180" s="62">
        <f>CÁLCULO!K579</f>
        <v>0.294</v>
      </c>
      <c r="G180" s="266">
        <v>98.28</v>
      </c>
      <c r="H180" s="267">
        <f>G180*1.2979</f>
        <v>127.557612</v>
      </c>
      <c r="I180" s="266">
        <f>F180*G180</f>
        <v>28.89432</v>
      </c>
      <c r="J180" s="266">
        <f>F180*H180</f>
        <v>37.501937928</v>
      </c>
    </row>
    <row r="181" spans="1:10" s="17" customFormat="1" ht="18">
      <c r="A181" s="60" t="s">
        <v>245</v>
      </c>
      <c r="B181" s="60" t="s">
        <v>20</v>
      </c>
      <c r="C181" s="60" t="s">
        <v>71</v>
      </c>
      <c r="D181" s="61" t="s">
        <v>72</v>
      </c>
      <c r="E181" s="60" t="s">
        <v>73</v>
      </c>
      <c r="F181" s="62">
        <f>CÁLCULO!K587</f>
        <v>38.0428</v>
      </c>
      <c r="G181" s="266">
        <v>11.25</v>
      </c>
      <c r="H181" s="267">
        <f>G181*1.2979</f>
        <v>14.601375</v>
      </c>
      <c r="I181" s="266">
        <f>F181*G181</f>
        <v>427.9815</v>
      </c>
      <c r="J181" s="266">
        <f>F181*H181</f>
        <v>555.4771888500001</v>
      </c>
    </row>
    <row r="182" spans="1:10" s="17" customFormat="1" ht="18">
      <c r="A182" s="60" t="s">
        <v>246</v>
      </c>
      <c r="B182" s="60" t="s">
        <v>20</v>
      </c>
      <c r="C182" s="60" t="s">
        <v>94</v>
      </c>
      <c r="D182" s="61" t="s">
        <v>95</v>
      </c>
      <c r="E182" s="60" t="s">
        <v>23</v>
      </c>
      <c r="F182" s="62">
        <f>CÁLCULO!K592</f>
        <v>1.8000000000000003</v>
      </c>
      <c r="G182" s="266">
        <v>226.84</v>
      </c>
      <c r="H182" s="267">
        <f>G182*1.2979</f>
        <v>294.415636</v>
      </c>
      <c r="I182" s="266">
        <f>F182*G182</f>
        <v>408.31200000000007</v>
      </c>
      <c r="J182" s="266">
        <f>F182*H182</f>
        <v>529.9481448000001</v>
      </c>
    </row>
    <row r="183" spans="1:10" s="17" customFormat="1" ht="18">
      <c r="A183" s="270" t="s">
        <v>247</v>
      </c>
      <c r="B183" s="276"/>
      <c r="C183" s="276"/>
      <c r="D183" s="272" t="s">
        <v>97</v>
      </c>
      <c r="E183" s="276"/>
      <c r="F183" s="276"/>
      <c r="G183" s="277"/>
      <c r="H183" s="277"/>
      <c r="I183" s="274">
        <f>SUM(I184:I187)</f>
        <v>1094.8101000000001</v>
      </c>
      <c r="J183" s="274">
        <f>SUM(J184:J187)</f>
        <v>1420.9540287900002</v>
      </c>
    </row>
    <row r="184" spans="1:10" s="17" customFormat="1" ht="18">
      <c r="A184" s="60" t="s">
        <v>248</v>
      </c>
      <c r="B184" s="60" t="s">
        <v>20</v>
      </c>
      <c r="C184" s="60" t="s">
        <v>77</v>
      </c>
      <c r="D184" s="61" t="s">
        <v>78</v>
      </c>
      <c r="E184" s="60" t="s">
        <v>55</v>
      </c>
      <c r="F184" s="62">
        <f>CÁLCULO!K595</f>
        <v>0.36000000000000004</v>
      </c>
      <c r="G184" s="266">
        <v>416.28</v>
      </c>
      <c r="H184" s="267">
        <f>G184*1.2979</f>
        <v>540.289812</v>
      </c>
      <c r="I184" s="266">
        <f>F184*G184</f>
        <v>149.8608</v>
      </c>
      <c r="J184" s="266">
        <f>F184*H184</f>
        <v>194.50433232</v>
      </c>
    </row>
    <row r="185" spans="1:10" s="17" customFormat="1" ht="18">
      <c r="A185" s="60" t="s">
        <v>249</v>
      </c>
      <c r="B185" s="60" t="s">
        <v>20</v>
      </c>
      <c r="C185" s="60" t="s">
        <v>90</v>
      </c>
      <c r="D185" s="61" t="s">
        <v>91</v>
      </c>
      <c r="E185" s="60" t="s">
        <v>55</v>
      </c>
      <c r="F185" s="62">
        <f>CÁLCULO!K597</f>
        <v>0.36000000000000004</v>
      </c>
      <c r="G185" s="266">
        <v>98.28</v>
      </c>
      <c r="H185" s="267">
        <f>G185*1.2979</f>
        <v>127.557612</v>
      </c>
      <c r="I185" s="266">
        <f>F185*G185</f>
        <v>35.38080000000001</v>
      </c>
      <c r="J185" s="266">
        <f>F185*H185</f>
        <v>45.92074032000001</v>
      </c>
    </row>
    <row r="186" spans="1:10" s="17" customFormat="1" ht="18">
      <c r="A186" s="60" t="s">
        <v>250</v>
      </c>
      <c r="B186" s="60" t="s">
        <v>20</v>
      </c>
      <c r="C186" s="60" t="s">
        <v>71</v>
      </c>
      <c r="D186" s="61" t="s">
        <v>72</v>
      </c>
      <c r="E186" s="60" t="s">
        <v>73</v>
      </c>
      <c r="F186" s="62">
        <f>CÁLCULO!K602</f>
        <v>32.458</v>
      </c>
      <c r="G186" s="266">
        <v>11.25</v>
      </c>
      <c r="H186" s="267">
        <f>G186*1.2979</f>
        <v>14.601375</v>
      </c>
      <c r="I186" s="266">
        <f>F186*G186</f>
        <v>365.1525</v>
      </c>
      <c r="J186" s="266">
        <f>F186*H186</f>
        <v>473.93142975</v>
      </c>
    </row>
    <row r="187" spans="1:10" s="17" customFormat="1" ht="18">
      <c r="A187" s="60" t="s">
        <v>251</v>
      </c>
      <c r="B187" s="60" t="s">
        <v>20</v>
      </c>
      <c r="C187" s="60" t="s">
        <v>94</v>
      </c>
      <c r="D187" s="61" t="s">
        <v>95</v>
      </c>
      <c r="E187" s="60" t="s">
        <v>23</v>
      </c>
      <c r="F187" s="62">
        <f>CÁLCULO!K605</f>
        <v>2.4000000000000004</v>
      </c>
      <c r="G187" s="266">
        <v>226.84</v>
      </c>
      <c r="H187" s="267">
        <f>G187*1.2979</f>
        <v>294.415636</v>
      </c>
      <c r="I187" s="266">
        <f>F187*G187</f>
        <v>544.416</v>
      </c>
      <c r="J187" s="266">
        <f>F187*H187</f>
        <v>706.5975264000001</v>
      </c>
    </row>
    <row r="188" spans="1:10" s="17" customFormat="1" ht="18">
      <c r="A188" s="270" t="s">
        <v>252</v>
      </c>
      <c r="B188" s="276"/>
      <c r="C188" s="276"/>
      <c r="D188" s="272" t="s">
        <v>103</v>
      </c>
      <c r="E188" s="276"/>
      <c r="F188" s="276"/>
      <c r="G188" s="277"/>
      <c r="H188" s="277"/>
      <c r="I188" s="274">
        <f>SUM(I189:I193)</f>
        <v>799.8491899999999</v>
      </c>
      <c r="J188" s="274">
        <f>SUM(J189:J193)</f>
        <v>1038.1242637010002</v>
      </c>
    </row>
    <row r="189" spans="1:10" s="17" customFormat="1" ht="18">
      <c r="A189" s="60" t="s">
        <v>253</v>
      </c>
      <c r="B189" s="60" t="s">
        <v>20</v>
      </c>
      <c r="C189" s="60" t="s">
        <v>105</v>
      </c>
      <c r="D189" s="61" t="s">
        <v>254</v>
      </c>
      <c r="E189" s="60" t="s">
        <v>23</v>
      </c>
      <c r="F189" s="62">
        <f>CÁLCULO!K609</f>
        <v>2.6</v>
      </c>
      <c r="G189" s="266">
        <v>83.56</v>
      </c>
      <c r="H189" s="267">
        <f>G189*1.2979</f>
        <v>108.45252400000001</v>
      </c>
      <c r="I189" s="266">
        <f>F189*G189</f>
        <v>217.256</v>
      </c>
      <c r="J189" s="266">
        <f>F189*H189</f>
        <v>281.97656240000003</v>
      </c>
    </row>
    <row r="190" spans="1:10" s="17" customFormat="1" ht="18">
      <c r="A190" s="60" t="s">
        <v>255</v>
      </c>
      <c r="B190" s="60" t="s">
        <v>20</v>
      </c>
      <c r="C190" s="60" t="s">
        <v>108</v>
      </c>
      <c r="D190" s="61" t="s">
        <v>428</v>
      </c>
      <c r="E190" s="60" t="s">
        <v>55</v>
      </c>
      <c r="F190" s="62">
        <f>CÁLCULO!K614</f>
        <v>0.228</v>
      </c>
      <c r="G190" s="266">
        <v>732.23</v>
      </c>
      <c r="H190" s="267">
        <f>G190*1.2979</f>
        <v>950.3613170000001</v>
      </c>
      <c r="I190" s="266">
        <f>F190*G190</f>
        <v>166.94844</v>
      </c>
      <c r="J190" s="266">
        <f>F190*H190</f>
        <v>216.68238027600003</v>
      </c>
    </row>
    <row r="191" spans="1:10" s="17" customFormat="1" ht="18">
      <c r="A191" s="60" t="s">
        <v>256</v>
      </c>
      <c r="B191" s="60" t="s">
        <v>20</v>
      </c>
      <c r="C191" s="60" t="s">
        <v>111</v>
      </c>
      <c r="D191" s="61" t="s">
        <v>112</v>
      </c>
      <c r="E191" s="60" t="s">
        <v>23</v>
      </c>
      <c r="F191" s="62">
        <f>CÁLCULO!K619</f>
        <v>11.4</v>
      </c>
      <c r="G191" s="266">
        <v>6.06</v>
      </c>
      <c r="H191" s="267">
        <f>G191*1.2979</f>
        <v>7.865273999999999</v>
      </c>
      <c r="I191" s="266">
        <f>F191*G191</f>
        <v>69.084</v>
      </c>
      <c r="J191" s="266">
        <f>F191*H191</f>
        <v>89.6641236</v>
      </c>
    </row>
    <row r="192" spans="1:10" s="17" customFormat="1" ht="18">
      <c r="A192" s="60" t="s">
        <v>257</v>
      </c>
      <c r="B192" s="60" t="s">
        <v>20</v>
      </c>
      <c r="C192" s="60" t="s">
        <v>71</v>
      </c>
      <c r="D192" s="61" t="s">
        <v>72</v>
      </c>
      <c r="E192" s="60" t="s">
        <v>73</v>
      </c>
      <c r="F192" s="62">
        <f>CÁLCULO!K623</f>
        <v>2.6550000000000002</v>
      </c>
      <c r="G192" s="266">
        <v>11.25</v>
      </c>
      <c r="H192" s="267">
        <f>G192*1.2979</f>
        <v>14.601375</v>
      </c>
      <c r="I192" s="266">
        <f>F192*G192</f>
        <v>29.868750000000002</v>
      </c>
      <c r="J192" s="266">
        <f>F192*H192</f>
        <v>38.766650625000004</v>
      </c>
    </row>
    <row r="193" spans="1:10" s="17" customFormat="1" ht="18">
      <c r="A193" s="60" t="s">
        <v>258</v>
      </c>
      <c r="B193" s="60" t="s">
        <v>20</v>
      </c>
      <c r="C193" s="60" t="s">
        <v>118</v>
      </c>
      <c r="D193" s="61" t="s">
        <v>119</v>
      </c>
      <c r="E193" s="60" t="s">
        <v>23</v>
      </c>
      <c r="F193" s="62">
        <f>CÁLCULO!K630</f>
        <v>11.4</v>
      </c>
      <c r="G193" s="266">
        <v>27.78</v>
      </c>
      <c r="H193" s="267">
        <f>G193*1.2979</f>
        <v>36.055662000000005</v>
      </c>
      <c r="I193" s="266">
        <f>F193*G193</f>
        <v>316.692</v>
      </c>
      <c r="J193" s="266">
        <f>F193*H193</f>
        <v>411.0345468000001</v>
      </c>
    </row>
    <row r="194" spans="1:10" s="17" customFormat="1" ht="18">
      <c r="A194" s="270" t="s">
        <v>259</v>
      </c>
      <c r="B194" s="276"/>
      <c r="C194" s="276"/>
      <c r="D194" s="272" t="s">
        <v>121</v>
      </c>
      <c r="E194" s="276"/>
      <c r="F194" s="278"/>
      <c r="G194" s="277"/>
      <c r="H194" s="277"/>
      <c r="I194" s="274">
        <f>SUM(I195:I196)</f>
        <v>493.9776000000001</v>
      </c>
      <c r="J194" s="274">
        <f>SUM(J195:J196)</f>
        <v>641.1335270400001</v>
      </c>
    </row>
    <row r="195" spans="1:10" s="17" customFormat="1" ht="18">
      <c r="A195" s="60" t="s">
        <v>260</v>
      </c>
      <c r="B195" s="60" t="s">
        <v>20</v>
      </c>
      <c r="C195" s="60" t="s">
        <v>77</v>
      </c>
      <c r="D195" s="61" t="s">
        <v>78</v>
      </c>
      <c r="E195" s="60" t="s">
        <v>55</v>
      </c>
      <c r="F195" s="62">
        <f>CÁLCULO!K633</f>
        <v>0.9600000000000002</v>
      </c>
      <c r="G195" s="266">
        <v>416.28</v>
      </c>
      <c r="H195" s="267">
        <f>G195*1.2979</f>
        <v>540.289812</v>
      </c>
      <c r="I195" s="266">
        <f>F195*G195</f>
        <v>399.62880000000007</v>
      </c>
      <c r="J195" s="266">
        <f>F195*H195</f>
        <v>518.6782195200001</v>
      </c>
    </row>
    <row r="196" spans="1:10" s="17" customFormat="1" ht="18">
      <c r="A196" s="60" t="s">
        <v>261</v>
      </c>
      <c r="B196" s="60" t="s">
        <v>20</v>
      </c>
      <c r="C196" s="60" t="s">
        <v>90</v>
      </c>
      <c r="D196" s="61" t="s">
        <v>91</v>
      </c>
      <c r="E196" s="60" t="s">
        <v>55</v>
      </c>
      <c r="F196" s="62">
        <f>CÁLCULO!K635</f>
        <v>0.9600000000000002</v>
      </c>
      <c r="G196" s="266">
        <v>98.28</v>
      </c>
      <c r="H196" s="267">
        <f>G196*1.2979</f>
        <v>127.557612</v>
      </c>
      <c r="I196" s="266">
        <f>F196*G196</f>
        <v>94.34880000000003</v>
      </c>
      <c r="J196" s="266">
        <f>F196*H196</f>
        <v>122.45530752000003</v>
      </c>
    </row>
    <row r="197" spans="1:10" s="17" customFormat="1" ht="18">
      <c r="A197" s="270">
        <v>8</v>
      </c>
      <c r="B197" s="270"/>
      <c r="C197" s="276"/>
      <c r="D197" s="272" t="s">
        <v>262</v>
      </c>
      <c r="E197" s="276"/>
      <c r="F197" s="276"/>
      <c r="G197" s="277"/>
      <c r="H197" s="277"/>
      <c r="I197" s="274">
        <f>SUM(I198:I203)</f>
        <v>3602.5232145</v>
      </c>
      <c r="J197" s="274">
        <f>SUM(J198:J203)</f>
        <v>4675.71488009955</v>
      </c>
    </row>
    <row r="198" spans="1:10" s="17" customFormat="1" ht="18">
      <c r="A198" s="60" t="s">
        <v>263</v>
      </c>
      <c r="B198" s="254" t="s">
        <v>20</v>
      </c>
      <c r="C198" s="255" t="s">
        <v>420</v>
      </c>
      <c r="D198" s="259" t="s">
        <v>402</v>
      </c>
      <c r="E198" s="255" t="s">
        <v>423</v>
      </c>
      <c r="F198" s="62">
        <f>CÁLCULO!K643</f>
        <v>51.24</v>
      </c>
      <c r="G198" s="268">
        <v>1.68</v>
      </c>
      <c r="H198" s="267">
        <f aca="true" t="shared" si="3" ref="H198:H203">G198*1.2979</f>
        <v>2.180472</v>
      </c>
      <c r="I198" s="266">
        <f aca="true" t="shared" si="4" ref="I198:I203">F198*G198</f>
        <v>86.0832</v>
      </c>
      <c r="J198" s="266">
        <f aca="true" t="shared" si="5" ref="J198:J203">F198*H198</f>
        <v>111.72738528000001</v>
      </c>
    </row>
    <row r="199" spans="1:10" s="17" customFormat="1" ht="18">
      <c r="A199" s="60" t="s">
        <v>264</v>
      </c>
      <c r="B199" s="256" t="s">
        <v>274</v>
      </c>
      <c r="C199" s="257">
        <v>101617</v>
      </c>
      <c r="D199" s="258" t="s">
        <v>421</v>
      </c>
      <c r="E199" s="254" t="s">
        <v>423</v>
      </c>
      <c r="F199" s="60">
        <f>2.8*18.3</f>
        <v>51.24</v>
      </c>
      <c r="G199" s="268">
        <v>3.14</v>
      </c>
      <c r="H199" s="267">
        <f t="shared" si="3"/>
        <v>4.075406</v>
      </c>
      <c r="I199" s="266">
        <f t="shared" si="4"/>
        <v>160.89360000000002</v>
      </c>
      <c r="J199" s="266">
        <f t="shared" si="5"/>
        <v>208.82380344</v>
      </c>
    </row>
    <row r="200" spans="1:10" s="17" customFormat="1" ht="18">
      <c r="A200" s="60" t="s">
        <v>265</v>
      </c>
      <c r="B200" s="254" t="s">
        <v>20</v>
      </c>
      <c r="C200" s="254" t="s">
        <v>60</v>
      </c>
      <c r="D200" s="258" t="s">
        <v>422</v>
      </c>
      <c r="E200" s="254" t="s">
        <v>424</v>
      </c>
      <c r="F200" s="62">
        <f>CÁLCULO!K662</f>
        <v>1.7878499999999997</v>
      </c>
      <c r="G200" s="268">
        <v>141.81</v>
      </c>
      <c r="H200" s="267">
        <f t="shared" si="3"/>
        <v>184.05519900000002</v>
      </c>
      <c r="I200" s="266">
        <f t="shared" si="4"/>
        <v>253.53500849999998</v>
      </c>
      <c r="J200" s="266">
        <f t="shared" si="5"/>
        <v>329.06308753214995</v>
      </c>
    </row>
    <row r="201" spans="1:10" s="17" customFormat="1" ht="36">
      <c r="A201" s="60" t="s">
        <v>266</v>
      </c>
      <c r="B201" s="254" t="s">
        <v>274</v>
      </c>
      <c r="C201" s="255">
        <v>94990</v>
      </c>
      <c r="D201" s="260" t="s">
        <v>425</v>
      </c>
      <c r="E201" s="254" t="s">
        <v>424</v>
      </c>
      <c r="F201" s="62">
        <f>CÁLCULO!K660</f>
        <v>3.0744</v>
      </c>
      <c r="G201" s="268">
        <v>741.49</v>
      </c>
      <c r="H201" s="267">
        <f t="shared" si="3"/>
        <v>962.3798710000001</v>
      </c>
      <c r="I201" s="266">
        <f t="shared" si="4"/>
        <v>2279.636856</v>
      </c>
      <c r="J201" s="266">
        <f t="shared" si="5"/>
        <v>2958.7406754024</v>
      </c>
    </row>
    <row r="202" spans="1:10" s="17" customFormat="1" ht="18">
      <c r="A202" s="60" t="s">
        <v>267</v>
      </c>
      <c r="B202" s="60" t="s">
        <v>20</v>
      </c>
      <c r="C202" s="60" t="s">
        <v>53</v>
      </c>
      <c r="D202" s="61" t="s">
        <v>54</v>
      </c>
      <c r="E202" s="60" t="s">
        <v>55</v>
      </c>
      <c r="F202" s="62">
        <f>CÁLCULO!K646</f>
        <v>2.745</v>
      </c>
      <c r="G202" s="266">
        <v>185.57</v>
      </c>
      <c r="H202" s="267">
        <f t="shared" si="3"/>
        <v>240.851303</v>
      </c>
      <c r="I202" s="266">
        <f t="shared" si="4"/>
        <v>509.38965</v>
      </c>
      <c r="J202" s="266">
        <f t="shared" si="5"/>
        <v>661.136826735</v>
      </c>
    </row>
    <row r="203" spans="1:10" s="14" customFormat="1" ht="36">
      <c r="A203" s="60" t="s">
        <v>268</v>
      </c>
      <c r="B203" s="60" t="s">
        <v>20</v>
      </c>
      <c r="C203" s="60" t="s">
        <v>63</v>
      </c>
      <c r="D203" s="64" t="s">
        <v>64</v>
      </c>
      <c r="E203" s="60" t="s">
        <v>55</v>
      </c>
      <c r="F203" s="62">
        <f>CÁLCULO!K648</f>
        <v>2.745</v>
      </c>
      <c r="G203" s="266">
        <v>114.02</v>
      </c>
      <c r="H203" s="267">
        <f t="shared" si="3"/>
        <v>147.986558</v>
      </c>
      <c r="I203" s="266">
        <f t="shared" si="4"/>
        <v>312.9849</v>
      </c>
      <c r="J203" s="266">
        <f t="shared" si="5"/>
        <v>406.22310171000004</v>
      </c>
    </row>
    <row r="204" spans="1:10" s="17" customFormat="1" ht="18">
      <c r="A204" s="270">
        <v>9</v>
      </c>
      <c r="B204" s="270"/>
      <c r="C204" s="276"/>
      <c r="D204" s="272" t="s">
        <v>269</v>
      </c>
      <c r="E204" s="276"/>
      <c r="F204" s="276"/>
      <c r="G204" s="277"/>
      <c r="H204" s="277"/>
      <c r="I204" s="274">
        <f>SUM(I205:I208)</f>
        <v>1922.98</v>
      </c>
      <c r="J204" s="274">
        <f>SUM(J205:J208)</f>
        <v>2495.8357419999998</v>
      </c>
    </row>
    <row r="205" spans="1:10" s="17" customFormat="1" ht="18">
      <c r="A205" s="60" t="s">
        <v>270</v>
      </c>
      <c r="B205" s="60" t="s">
        <v>20</v>
      </c>
      <c r="C205" s="60" t="s">
        <v>271</v>
      </c>
      <c r="D205" s="61" t="s">
        <v>272</v>
      </c>
      <c r="E205" s="60" t="s">
        <v>51</v>
      </c>
      <c r="F205" s="62">
        <f>CÁLCULO!K679</f>
        <v>10</v>
      </c>
      <c r="G205" s="266">
        <v>6.75</v>
      </c>
      <c r="H205" s="267">
        <f>G205*1.2979</f>
        <v>8.760825</v>
      </c>
      <c r="I205" s="266">
        <f>F205*G205</f>
        <v>67.5</v>
      </c>
      <c r="J205" s="266">
        <f>F205*H205</f>
        <v>87.60825</v>
      </c>
    </row>
    <row r="206" spans="1:10" s="14" customFormat="1" ht="36">
      <c r="A206" s="60" t="s">
        <v>273</v>
      </c>
      <c r="B206" s="60" t="s">
        <v>20</v>
      </c>
      <c r="C206" s="252" t="s">
        <v>365</v>
      </c>
      <c r="D206" s="253" t="s">
        <v>393</v>
      </c>
      <c r="E206" s="60" t="s">
        <v>275</v>
      </c>
      <c r="F206" s="62">
        <f>CÁLCULO!K681</f>
        <v>1</v>
      </c>
      <c r="G206" s="267">
        <v>1389.02</v>
      </c>
      <c r="H206" s="267">
        <f>G206*1.2979</f>
        <v>1802.809058</v>
      </c>
      <c r="I206" s="266">
        <f>F206*G206</f>
        <v>1389.02</v>
      </c>
      <c r="J206" s="266">
        <f>F206*H206</f>
        <v>1802.809058</v>
      </c>
    </row>
    <row r="207" spans="1:10" s="17" customFormat="1" ht="18">
      <c r="A207" s="60" t="s">
        <v>276</v>
      </c>
      <c r="B207" s="60" t="s">
        <v>274</v>
      </c>
      <c r="C207" s="60">
        <v>95675</v>
      </c>
      <c r="D207" s="61" t="s">
        <v>277</v>
      </c>
      <c r="E207" s="60" t="s">
        <v>275</v>
      </c>
      <c r="F207" s="62">
        <f>CÁLCULO!K683</f>
        <v>1</v>
      </c>
      <c r="G207" s="267">
        <v>181.26</v>
      </c>
      <c r="H207" s="267">
        <f>G207*1.2979</f>
        <v>235.257354</v>
      </c>
      <c r="I207" s="266">
        <f>F207*G207</f>
        <v>181.26</v>
      </c>
      <c r="J207" s="266">
        <f>F207*H207</f>
        <v>235.257354</v>
      </c>
    </row>
    <row r="208" spans="1:10" s="17" customFormat="1" ht="18">
      <c r="A208" s="60" t="s">
        <v>278</v>
      </c>
      <c r="B208" s="60" t="s">
        <v>20</v>
      </c>
      <c r="C208" s="60" t="s">
        <v>392</v>
      </c>
      <c r="D208" s="61" t="s">
        <v>391</v>
      </c>
      <c r="E208" s="60" t="s">
        <v>51</v>
      </c>
      <c r="F208" s="62">
        <f>CÁLCULO!K685</f>
        <v>10</v>
      </c>
      <c r="G208" s="267">
        <v>28.52</v>
      </c>
      <c r="H208" s="267">
        <f>G208*1.2979</f>
        <v>37.016108</v>
      </c>
      <c r="I208" s="266">
        <f>F208*G208</f>
        <v>285.2</v>
      </c>
      <c r="J208" s="266">
        <f>F208*H208</f>
        <v>370.16108</v>
      </c>
    </row>
    <row r="209" spans="1:10" s="17" customFormat="1" ht="18">
      <c r="A209" s="270">
        <v>10</v>
      </c>
      <c r="B209" s="270"/>
      <c r="C209" s="276"/>
      <c r="D209" s="272" t="s">
        <v>279</v>
      </c>
      <c r="E209" s="276"/>
      <c r="F209" s="276"/>
      <c r="G209" s="274"/>
      <c r="H209" s="274"/>
      <c r="I209" s="274">
        <f>SUM(I210:I214)</f>
        <v>45392.6792</v>
      </c>
      <c r="J209" s="274">
        <f>SUM(J210:J214)</f>
        <v>58915.15833368</v>
      </c>
    </row>
    <row r="210" spans="1:10" s="17" customFormat="1" ht="36">
      <c r="A210" s="60" t="s">
        <v>280</v>
      </c>
      <c r="B210" s="60" t="s">
        <v>20</v>
      </c>
      <c r="C210" s="60" t="s">
        <v>115</v>
      </c>
      <c r="D210" s="64" t="s">
        <v>116</v>
      </c>
      <c r="E210" s="60" t="s">
        <v>23</v>
      </c>
      <c r="F210" s="62">
        <f>CÁLCULO!K689</f>
        <v>47.88</v>
      </c>
      <c r="G210" s="267">
        <v>502.81</v>
      </c>
      <c r="H210" s="267">
        <f>G210*1.2979</f>
        <v>652.5970990000001</v>
      </c>
      <c r="I210" s="266">
        <f>F210*G210</f>
        <v>24074.542800000003</v>
      </c>
      <c r="J210" s="266">
        <f>F210*H210</f>
        <v>31246.349100120005</v>
      </c>
    </row>
    <row r="211" spans="1:10" s="17" customFormat="1" ht="18">
      <c r="A211" s="60" t="s">
        <v>281</v>
      </c>
      <c r="B211" s="60" t="s">
        <v>20</v>
      </c>
      <c r="C211" s="285" t="s">
        <v>432</v>
      </c>
      <c r="D211" s="286" t="s">
        <v>431</v>
      </c>
      <c r="E211" s="285" t="s">
        <v>51</v>
      </c>
      <c r="F211" s="287">
        <f>CÁLCULO!H688</f>
        <v>18.3</v>
      </c>
      <c r="G211" s="288">
        <v>883.43</v>
      </c>
      <c r="H211" s="288">
        <f>G211*1.2979</f>
        <v>1146.603797</v>
      </c>
      <c r="I211" s="289">
        <f>F211*G211</f>
        <v>16166.769</v>
      </c>
      <c r="J211" s="289">
        <f>F211*H211</f>
        <v>20982.8494851</v>
      </c>
    </row>
    <row r="212" spans="1:10" s="17" customFormat="1" ht="20.25" customHeight="1">
      <c r="A212" s="285" t="s">
        <v>284</v>
      </c>
      <c r="B212" s="290" t="s">
        <v>20</v>
      </c>
      <c r="C212" s="291" t="s">
        <v>433</v>
      </c>
      <c r="D212" s="292" t="s">
        <v>434</v>
      </c>
      <c r="E212" s="60" t="s">
        <v>23</v>
      </c>
      <c r="F212" s="293">
        <f>18.3*1.1+F213</f>
        <v>22.930000000000003</v>
      </c>
      <c r="G212" s="294">
        <v>40.68</v>
      </c>
      <c r="H212" s="294">
        <f>G212*1.2979</f>
        <v>52.798572</v>
      </c>
      <c r="I212" s="294">
        <f>F212*G212</f>
        <v>932.7924000000002</v>
      </c>
      <c r="J212" s="294">
        <f>F212*H212</f>
        <v>1210.6712559600003</v>
      </c>
    </row>
    <row r="213" spans="1:10" s="17" customFormat="1" ht="18">
      <c r="A213" s="60" t="s">
        <v>426</v>
      </c>
      <c r="B213" s="60" t="s">
        <v>20</v>
      </c>
      <c r="C213" s="60" t="s">
        <v>282</v>
      </c>
      <c r="D213" s="61" t="s">
        <v>283</v>
      </c>
      <c r="E213" s="60" t="s">
        <v>23</v>
      </c>
      <c r="F213" s="62">
        <f>CÁLCULO!K692</f>
        <v>2.8</v>
      </c>
      <c r="G213" s="267">
        <v>1120.7</v>
      </c>
      <c r="H213" s="267">
        <f>G213*1.2979</f>
        <v>1454.55653</v>
      </c>
      <c r="I213" s="266">
        <f>F213*G213</f>
        <v>3137.96</v>
      </c>
      <c r="J213" s="266">
        <f>F213*H213</f>
        <v>4072.758284</v>
      </c>
    </row>
    <row r="214" spans="1:10" s="17" customFormat="1" ht="18">
      <c r="A214" s="60" t="s">
        <v>427</v>
      </c>
      <c r="B214" s="60" t="s">
        <v>20</v>
      </c>
      <c r="C214" s="60" t="s">
        <v>285</v>
      </c>
      <c r="D214" s="61" t="s">
        <v>286</v>
      </c>
      <c r="E214" s="60" t="s">
        <v>23</v>
      </c>
      <c r="F214" s="62">
        <f>CÁLCULO!K694</f>
        <v>91.5</v>
      </c>
      <c r="G214" s="267">
        <v>11.81</v>
      </c>
      <c r="H214" s="267">
        <f>G214*1.2979</f>
        <v>15.328199000000001</v>
      </c>
      <c r="I214" s="266">
        <f>F214*G214</f>
        <v>1080.615</v>
      </c>
      <c r="J214" s="266">
        <f>F214*H214</f>
        <v>1402.5302085</v>
      </c>
    </row>
    <row r="215" spans="1:10" s="18" customFormat="1" ht="34.5" customHeight="1">
      <c r="A215" s="72"/>
      <c r="B215" s="72"/>
      <c r="C215" s="72"/>
      <c r="D215" s="72"/>
      <c r="E215" s="71"/>
      <c r="F215" s="73"/>
      <c r="G215" s="89"/>
      <c r="H215" s="75"/>
      <c r="I215" s="264" t="s">
        <v>390</v>
      </c>
      <c r="J215" s="264" t="s">
        <v>287</v>
      </c>
    </row>
    <row r="216" spans="1:10" s="18" customFormat="1" ht="33" customHeight="1">
      <c r="A216" s="71"/>
      <c r="B216" s="71"/>
      <c r="C216" s="71"/>
      <c r="D216" s="72"/>
      <c r="E216" s="71"/>
      <c r="F216" s="73"/>
      <c r="G216" s="89"/>
      <c r="H216" s="74"/>
      <c r="I216" s="279">
        <f>I14+I16+I28+I34+I37+I42+I47+I52+I58+I62+I68+I71+I76+I81+I86+I92+I96+I102+I105+I110+I115+I120+I126+I130+I136+I139+I144+I149+I154+I160+I164+I170+I173+I178+I183+I188+I194+I197+I204+I209</f>
        <v>129082.76790885002</v>
      </c>
      <c r="J216" s="279">
        <f>J14+J16+J28+J34+J37+J42+J47+J52+J58+J62+J68+J71+J76+J81+J86+J92+J96+J102+J105+J110+J115+J120+J126+J130+J136+J139+J144+J149+J154+J160+J164+J170+J173+J178+J183+J188+J194+J197+J204+J209</f>
        <v>165439.9757648964</v>
      </c>
    </row>
    <row r="217" spans="1:10" s="6" customFormat="1" ht="18">
      <c r="A217" s="72"/>
      <c r="B217" s="72"/>
      <c r="C217" s="76"/>
      <c r="D217" s="77"/>
      <c r="E217" s="76"/>
      <c r="F217" s="302"/>
      <c r="G217" s="302"/>
      <c r="H217" s="72"/>
      <c r="I217" s="72"/>
      <c r="J217" s="72"/>
    </row>
    <row r="218" spans="1:10" s="6" customFormat="1" ht="18">
      <c r="A218" s="303" t="s">
        <v>429</v>
      </c>
      <c r="B218" s="303"/>
      <c r="C218" s="303"/>
      <c r="D218" s="303"/>
      <c r="E218" s="303"/>
      <c r="F218" s="303"/>
      <c r="G218" s="303">
        <v>6.04</v>
      </c>
      <c r="H218" s="303"/>
      <c r="I218" s="303"/>
      <c r="J218" s="303"/>
    </row>
    <row r="219" spans="1:10" s="6" customFormat="1" ht="15" customHeight="1">
      <c r="A219" s="78"/>
      <c r="B219" s="78"/>
      <c r="C219" s="304"/>
      <c r="D219" s="304"/>
      <c r="E219" s="305"/>
      <c r="F219" s="305"/>
      <c r="G219" s="305">
        <v>81.22</v>
      </c>
      <c r="H219" s="305"/>
      <c r="I219" s="80"/>
      <c r="J219" s="80"/>
    </row>
    <row r="220" spans="1:10" s="6" customFormat="1" ht="18">
      <c r="A220" s="77"/>
      <c r="B220" s="77"/>
      <c r="C220" s="77"/>
      <c r="D220" s="77"/>
      <c r="E220" s="77"/>
      <c r="F220" s="77"/>
      <c r="G220" s="72"/>
      <c r="H220" s="77"/>
      <c r="I220" s="77"/>
      <c r="J220" s="77"/>
    </row>
    <row r="221" spans="1:10" s="6" customFormat="1" ht="12.75" customHeight="1">
      <c r="A221" s="77"/>
      <c r="B221" s="77"/>
      <c r="C221" s="306"/>
      <c r="D221" s="306"/>
      <c r="E221" s="306"/>
      <c r="F221" s="306"/>
      <c r="G221" s="306"/>
      <c r="H221" s="306"/>
      <c r="I221" s="81"/>
      <c r="J221" s="81"/>
    </row>
    <row r="222" spans="1:10" s="6" customFormat="1" ht="18">
      <c r="A222" s="77"/>
      <c r="B222" s="77"/>
      <c r="C222" s="82"/>
      <c r="D222" s="83"/>
      <c r="E222" s="77"/>
      <c r="F222" s="77"/>
      <c r="G222" s="72"/>
      <c r="H222" s="77"/>
      <c r="I222" s="77"/>
      <c r="J222" s="77"/>
    </row>
    <row r="223" spans="1:10" s="6" customFormat="1" ht="18">
      <c r="A223" s="77"/>
      <c r="B223" s="77"/>
      <c r="C223" s="77"/>
      <c r="D223" s="77"/>
      <c r="E223" s="77"/>
      <c r="F223" s="77"/>
      <c r="G223" s="72"/>
      <c r="H223" s="84"/>
      <c r="I223" s="84"/>
      <c r="J223" s="77"/>
    </row>
    <row r="224" spans="1:10" ht="18">
      <c r="A224" s="77"/>
      <c r="B224" s="77"/>
      <c r="C224" s="77"/>
      <c r="D224" s="77"/>
      <c r="E224" s="77"/>
      <c r="F224" s="77"/>
      <c r="G224" s="72"/>
      <c r="H224" s="77"/>
      <c r="I224" s="77"/>
      <c r="J224" s="77"/>
    </row>
    <row r="225" spans="1:10" ht="18">
      <c r="A225" s="85"/>
      <c r="B225" s="85"/>
      <c r="C225" s="85"/>
      <c r="D225" s="79"/>
      <c r="E225" s="85"/>
      <c r="F225" s="85"/>
      <c r="G225" s="86"/>
      <c r="H225" s="87"/>
      <c r="I225" s="87"/>
      <c r="J225" s="88"/>
    </row>
    <row r="226" spans="1:10" ht="18">
      <c r="A226" s="85"/>
      <c r="B226" s="85"/>
      <c r="C226" s="85"/>
      <c r="D226" s="79"/>
      <c r="E226" s="85"/>
      <c r="F226" s="85"/>
      <c r="G226" s="86"/>
      <c r="H226" s="87"/>
      <c r="I226" s="87"/>
      <c r="J226" s="88"/>
    </row>
    <row r="227" spans="1:10" ht="18">
      <c r="A227" s="85"/>
      <c r="B227" s="85"/>
      <c r="C227" s="85"/>
      <c r="D227" s="79"/>
      <c r="E227" s="85"/>
      <c r="F227" s="85"/>
      <c r="G227" s="86"/>
      <c r="H227" s="87"/>
      <c r="I227" s="87"/>
      <c r="J227" s="88"/>
    </row>
    <row r="228" spans="1:10" ht="18">
      <c r="A228" s="85"/>
      <c r="B228" s="85"/>
      <c r="C228" s="85"/>
      <c r="D228" s="79"/>
      <c r="E228" s="85"/>
      <c r="F228" s="85"/>
      <c r="G228" s="86"/>
      <c r="H228" s="87"/>
      <c r="I228" s="87"/>
      <c r="J228" s="88"/>
    </row>
    <row r="229" spans="1:10" ht="18">
      <c r="A229" s="21"/>
      <c r="B229" s="21"/>
      <c r="C229" s="21"/>
      <c r="D229" s="19"/>
      <c r="E229" s="21"/>
      <c r="F229" s="21"/>
      <c r="G229" s="22"/>
      <c r="H229" s="23"/>
      <c r="I229" s="23"/>
      <c r="J229" s="24"/>
    </row>
    <row r="230" spans="1:10" ht="18">
      <c r="A230" s="21"/>
      <c r="B230" s="21"/>
      <c r="C230" s="21"/>
      <c r="D230" s="19"/>
      <c r="E230" s="21"/>
      <c r="F230" s="21"/>
      <c r="G230" s="22"/>
      <c r="H230" s="23"/>
      <c r="I230" s="23"/>
      <c r="J230" s="24"/>
    </row>
    <row r="231" spans="1:10" ht="18">
      <c r="A231" s="21"/>
      <c r="B231" s="21"/>
      <c r="C231" s="21"/>
      <c r="D231" s="19"/>
      <c r="E231" s="21"/>
      <c r="F231" s="21"/>
      <c r="G231" s="22"/>
      <c r="H231" s="23"/>
      <c r="I231" s="23"/>
      <c r="J231" s="24"/>
    </row>
    <row r="232" spans="1:10" ht="18">
      <c r="A232" s="21"/>
      <c r="B232" s="21"/>
      <c r="C232" s="21"/>
      <c r="D232" s="19"/>
      <c r="E232" s="21"/>
      <c r="F232" s="21"/>
      <c r="G232" s="22"/>
      <c r="H232" s="23"/>
      <c r="I232" s="23"/>
      <c r="J232" s="24"/>
    </row>
    <row r="233" spans="1:10" ht="18">
      <c r="A233" s="21"/>
      <c r="B233" s="21"/>
      <c r="C233" s="21"/>
      <c r="D233" s="19"/>
      <c r="E233" s="21"/>
      <c r="F233" s="21"/>
      <c r="G233" s="22"/>
      <c r="H233" s="23"/>
      <c r="I233" s="23"/>
      <c r="J233" s="24"/>
    </row>
    <row r="234" spans="1:10" ht="18.75">
      <c r="A234" s="21"/>
      <c r="B234" s="21"/>
      <c r="C234" s="21"/>
      <c r="D234" s="25"/>
      <c r="E234" s="26"/>
      <c r="F234" s="26"/>
      <c r="G234" s="27"/>
      <c r="H234" s="24"/>
      <c r="I234" s="24"/>
      <c r="J234" s="24"/>
    </row>
    <row r="235" spans="1:10" ht="12.75" customHeight="1">
      <c r="A235" s="21"/>
      <c r="B235" s="21"/>
      <c r="C235" s="21"/>
      <c r="D235" s="25"/>
      <c r="E235" s="26"/>
      <c r="F235" s="26"/>
      <c r="G235" s="28"/>
      <c r="H235" s="29"/>
      <c r="I235" s="29"/>
      <c r="J235" s="24"/>
    </row>
    <row r="236" spans="1:10" ht="18.75">
      <c r="A236" s="21"/>
      <c r="B236" s="21"/>
      <c r="C236" s="21"/>
      <c r="D236" s="25"/>
      <c r="E236" s="26"/>
      <c r="F236" s="26"/>
      <c r="G236" s="28"/>
      <c r="H236" s="29"/>
      <c r="I236" s="29"/>
      <c r="J236" s="24"/>
    </row>
    <row r="237" spans="1:10" ht="18.75">
      <c r="A237" s="21"/>
      <c r="B237" s="21"/>
      <c r="C237" s="21"/>
      <c r="D237" s="25"/>
      <c r="E237" s="26"/>
      <c r="F237" s="26"/>
      <c r="G237" s="28"/>
      <c r="H237" s="29"/>
      <c r="I237" s="29"/>
      <c r="J237" s="24"/>
    </row>
    <row r="238" spans="1:10" ht="18.75">
      <c r="A238" s="21"/>
      <c r="B238" s="21"/>
      <c r="C238" s="21"/>
      <c r="D238" s="25"/>
      <c r="E238" s="26"/>
      <c r="F238" s="26"/>
      <c r="G238" s="27"/>
      <c r="H238" s="24"/>
      <c r="I238" s="24"/>
      <c r="J238" s="24"/>
    </row>
    <row r="239" spans="1:10" ht="18.75">
      <c r="A239" s="21"/>
      <c r="B239" s="21"/>
      <c r="C239" s="21"/>
      <c r="D239" s="25"/>
      <c r="E239" s="26"/>
      <c r="F239" s="26"/>
      <c r="G239" s="27"/>
      <c r="H239" s="24"/>
      <c r="I239" s="24"/>
      <c r="J239" s="24"/>
    </row>
    <row r="240" spans="1:10" ht="18.75">
      <c r="A240" s="21"/>
      <c r="B240" s="21"/>
      <c r="C240" s="21"/>
      <c r="D240" s="25"/>
      <c r="E240" s="26"/>
      <c r="F240" s="26"/>
      <c r="G240" s="27"/>
      <c r="H240" s="24"/>
      <c r="I240" s="24"/>
      <c r="J240" s="24"/>
    </row>
    <row r="241" spans="1:10" ht="18.75">
      <c r="A241" s="21"/>
      <c r="B241" s="21"/>
      <c r="C241" s="21"/>
      <c r="D241" s="25"/>
      <c r="E241" s="26"/>
      <c r="F241" s="26"/>
      <c r="G241" s="27"/>
      <c r="H241" s="24"/>
      <c r="I241" s="24"/>
      <c r="J241" s="24"/>
    </row>
    <row r="242" spans="1:10" ht="18.75">
      <c r="A242" s="21"/>
      <c r="B242" s="21"/>
      <c r="C242" s="21"/>
      <c r="D242" s="25"/>
      <c r="E242" s="26"/>
      <c r="F242" s="26"/>
      <c r="G242" s="27"/>
      <c r="H242" s="24"/>
      <c r="I242" s="24"/>
      <c r="J242" s="24"/>
    </row>
    <row r="243" spans="1:10" ht="18.75">
      <c r="A243" s="30"/>
      <c r="B243" s="30"/>
      <c r="C243" s="30"/>
      <c r="D243" s="25"/>
      <c r="E243" s="30"/>
      <c r="F243" s="30"/>
      <c r="G243" s="31"/>
      <c r="H243" s="30"/>
      <c r="I243" s="30"/>
      <c r="J243" s="32"/>
    </row>
    <row r="244" spans="1:10" ht="18.75">
      <c r="A244" s="33"/>
      <c r="B244" s="33"/>
      <c r="C244" s="33"/>
      <c r="D244" s="25"/>
      <c r="E244" s="34"/>
      <c r="F244" s="34"/>
      <c r="G244" s="35"/>
      <c r="H244" s="36"/>
      <c r="I244" s="36"/>
      <c r="J244" s="3"/>
    </row>
    <row r="245" spans="1:10" ht="18">
      <c r="A245" s="3"/>
      <c r="B245" s="3"/>
      <c r="C245" s="3"/>
      <c r="D245" s="3"/>
      <c r="E245" s="3"/>
      <c r="F245" s="3"/>
      <c r="G245" s="20"/>
      <c r="H245" s="3"/>
      <c r="I245" s="3"/>
      <c r="J245" s="3"/>
    </row>
    <row r="246" spans="1:10" ht="18">
      <c r="A246" s="3"/>
      <c r="B246" s="3"/>
      <c r="C246" s="3"/>
      <c r="D246" s="3"/>
      <c r="E246" s="3"/>
      <c r="F246" s="3"/>
      <c r="G246" s="20"/>
      <c r="H246" s="3"/>
      <c r="I246" s="3"/>
      <c r="J246" s="3"/>
    </row>
    <row r="247" spans="1:10" ht="18">
      <c r="A247" s="3"/>
      <c r="B247" s="3"/>
      <c r="C247" s="3"/>
      <c r="D247" s="3"/>
      <c r="E247" s="3"/>
      <c r="F247" s="3"/>
      <c r="G247" s="20"/>
      <c r="H247" s="3"/>
      <c r="I247" s="3"/>
      <c r="J247" s="3"/>
    </row>
  </sheetData>
  <sheetProtection selectLockedCells="1" selectUnlockedCells="1"/>
  <mergeCells count="14">
    <mergeCell ref="D1:J1"/>
    <mergeCell ref="A11:J11"/>
    <mergeCell ref="E12:G12"/>
    <mergeCell ref="G5:J5"/>
    <mergeCell ref="G6:J6"/>
    <mergeCell ref="G7:J7"/>
    <mergeCell ref="G8:J8"/>
    <mergeCell ref="G9:J9"/>
    <mergeCell ref="F217:G217"/>
    <mergeCell ref="A218:J218"/>
    <mergeCell ref="C219:D219"/>
    <mergeCell ref="E219:H219"/>
    <mergeCell ref="C221:D221"/>
    <mergeCell ref="E221:H221"/>
  </mergeCells>
  <printOptions horizontalCentered="1"/>
  <pageMargins left="0.11811023622047245" right="0.11811023622047245" top="0.3937007874015748" bottom="0.3937007874015748" header="0.5118110236220472" footer="0.5118110236220472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98"/>
  <sheetViews>
    <sheetView zoomScale="115" zoomScaleNormal="115" zoomScalePageLayoutView="0" workbookViewId="0" topLeftCell="A1">
      <selection activeCell="G720" sqref="G720"/>
    </sheetView>
  </sheetViews>
  <sheetFormatPr defaultColWidth="9.140625" defaultRowHeight="12.75"/>
  <cols>
    <col min="1" max="1" width="1.8515625" style="4" customWidth="1"/>
    <col min="2" max="2" width="6.7109375" style="37" bestFit="1" customWidth="1"/>
    <col min="3" max="3" width="9.140625" style="37" customWidth="1"/>
    <col min="4" max="4" width="13.8515625" style="37" customWidth="1"/>
    <col min="5" max="5" width="82.00390625" style="37" customWidth="1"/>
    <col min="6" max="6" width="9.00390625" style="38" customWidth="1"/>
    <col min="7" max="7" width="12.421875" style="38" customWidth="1"/>
    <col min="8" max="8" width="18.421875" style="38" customWidth="1"/>
    <col min="9" max="9" width="10.140625" style="38" customWidth="1"/>
    <col min="10" max="10" width="8.57421875" style="38" customWidth="1"/>
    <col min="11" max="11" width="13.421875" style="38" customWidth="1"/>
    <col min="12" max="12" width="30.421875" style="295" customWidth="1"/>
    <col min="13" max="16384" width="9.140625" style="296" customWidth="1"/>
  </cols>
  <sheetData>
    <row r="1" ht="3.75" customHeight="1" thickBot="1"/>
    <row r="2" spans="2:11" ht="28.5" customHeight="1" thickBot="1">
      <c r="B2" s="190" t="s">
        <v>4</v>
      </c>
      <c r="C2" s="191" t="s">
        <v>5</v>
      </c>
      <c r="D2" s="191" t="s">
        <v>6</v>
      </c>
      <c r="E2" s="191" t="s">
        <v>7</v>
      </c>
      <c r="F2" s="205" t="s">
        <v>8</v>
      </c>
      <c r="G2" s="191" t="s">
        <v>17</v>
      </c>
      <c r="H2" s="191" t="s">
        <v>17</v>
      </c>
      <c r="I2" s="191" t="s">
        <v>17</v>
      </c>
      <c r="J2" s="191" t="s">
        <v>17</v>
      </c>
      <c r="K2" s="206" t="s">
        <v>289</v>
      </c>
    </row>
    <row r="3" spans="2:11" ht="15.75">
      <c r="B3" s="196">
        <v>1</v>
      </c>
      <c r="C3" s="197"/>
      <c r="D3" s="197"/>
      <c r="E3" s="198" t="s">
        <v>13</v>
      </c>
      <c r="F3" s="199"/>
      <c r="G3" s="200"/>
      <c r="H3" s="200"/>
      <c r="I3" s="200"/>
      <c r="J3" s="200"/>
      <c r="K3" s="201"/>
    </row>
    <row r="4" spans="1:12" s="298" customFormat="1" ht="15.75">
      <c r="A4" s="39"/>
      <c r="B4" s="202" t="s">
        <v>14</v>
      </c>
      <c r="C4" s="94" t="s">
        <v>15</v>
      </c>
      <c r="D4" s="94">
        <v>1</v>
      </c>
      <c r="E4" s="95" t="s">
        <v>13</v>
      </c>
      <c r="F4" s="94" t="s">
        <v>16</v>
      </c>
      <c r="G4" s="96" t="s">
        <v>9</v>
      </c>
      <c r="H4" s="97"/>
      <c r="I4" s="97"/>
      <c r="J4" s="97"/>
      <c r="K4" s="203" t="s">
        <v>290</v>
      </c>
      <c r="L4" s="297"/>
    </row>
    <row r="5" spans="2:11" ht="16.5" thickBot="1">
      <c r="B5" s="157"/>
      <c r="C5" s="158"/>
      <c r="D5" s="158"/>
      <c r="E5" s="159"/>
      <c r="F5" s="180"/>
      <c r="G5" s="204">
        <v>1</v>
      </c>
      <c r="H5" s="204"/>
      <c r="I5" s="204"/>
      <c r="J5" s="204"/>
      <c r="K5" s="221">
        <f>G5</f>
        <v>1</v>
      </c>
    </row>
    <row r="6" spans="2:11" ht="16.5" thickBot="1">
      <c r="B6" s="190">
        <v>2</v>
      </c>
      <c r="C6" s="191"/>
      <c r="D6" s="191"/>
      <c r="E6" s="192" t="s">
        <v>18</v>
      </c>
      <c r="F6" s="193"/>
      <c r="G6" s="194"/>
      <c r="H6" s="194"/>
      <c r="I6" s="194"/>
      <c r="J6" s="194"/>
      <c r="K6" s="195"/>
    </row>
    <row r="7" spans="2:11" ht="15.75">
      <c r="B7" s="188" t="s">
        <v>19</v>
      </c>
      <c r="C7" s="149" t="s">
        <v>20</v>
      </c>
      <c r="D7" s="149" t="s">
        <v>21</v>
      </c>
      <c r="E7" s="150" t="s">
        <v>22</v>
      </c>
      <c r="F7" s="149" t="s">
        <v>23</v>
      </c>
      <c r="G7" s="151"/>
      <c r="H7" s="151" t="s">
        <v>291</v>
      </c>
      <c r="I7" s="151" t="s">
        <v>292</v>
      </c>
      <c r="J7" s="151"/>
      <c r="K7" s="189" t="s">
        <v>290</v>
      </c>
    </row>
    <row r="8" spans="2:11" ht="16.5" thickBot="1">
      <c r="B8" s="162"/>
      <c r="C8" s="163"/>
      <c r="D8" s="163"/>
      <c r="E8" s="164"/>
      <c r="F8" s="171"/>
      <c r="G8" s="165"/>
      <c r="H8" s="166">
        <v>2.4</v>
      </c>
      <c r="I8" s="166">
        <v>1.2</v>
      </c>
      <c r="J8" s="165"/>
      <c r="K8" s="222">
        <f>H8*I8</f>
        <v>2.88</v>
      </c>
    </row>
    <row r="9" spans="1:12" s="298" customFormat="1" ht="15.75">
      <c r="A9" s="39"/>
      <c r="B9" s="152" t="s">
        <v>24</v>
      </c>
      <c r="C9" s="153" t="s">
        <v>20</v>
      </c>
      <c r="D9" s="153" t="s">
        <v>25</v>
      </c>
      <c r="E9" s="154" t="s">
        <v>26</v>
      </c>
      <c r="F9" s="153" t="s">
        <v>23</v>
      </c>
      <c r="G9" s="155"/>
      <c r="H9" s="155" t="s">
        <v>291</v>
      </c>
      <c r="I9" s="155" t="s">
        <v>292</v>
      </c>
      <c r="J9" s="155"/>
      <c r="K9" s="156" t="s">
        <v>290</v>
      </c>
      <c r="L9" s="297"/>
    </row>
    <row r="10" spans="2:11" ht="16.5" thickBot="1">
      <c r="B10" s="157"/>
      <c r="C10" s="158"/>
      <c r="D10" s="158"/>
      <c r="E10" s="159"/>
      <c r="F10" s="180"/>
      <c r="G10" s="160"/>
      <c r="H10" s="161">
        <v>18.3</v>
      </c>
      <c r="I10" s="161">
        <v>0.9</v>
      </c>
      <c r="J10" s="161"/>
      <c r="K10" s="223">
        <f>H10*I10</f>
        <v>16.470000000000002</v>
      </c>
    </row>
    <row r="11" spans="1:12" s="298" customFormat="1" ht="15.75">
      <c r="A11" s="39"/>
      <c r="B11" s="152" t="s">
        <v>27</v>
      </c>
      <c r="C11" s="153" t="s">
        <v>20</v>
      </c>
      <c r="D11" s="153" t="s">
        <v>28</v>
      </c>
      <c r="E11" s="154" t="s">
        <v>29</v>
      </c>
      <c r="F11" s="153" t="s">
        <v>30</v>
      </c>
      <c r="G11" s="169" t="s">
        <v>9</v>
      </c>
      <c r="H11" s="169"/>
      <c r="I11" s="169"/>
      <c r="J11" s="169"/>
      <c r="K11" s="156" t="s">
        <v>290</v>
      </c>
      <c r="L11" s="297"/>
    </row>
    <row r="12" spans="2:11" ht="16.5" thickBot="1">
      <c r="B12" s="162"/>
      <c r="C12" s="163"/>
      <c r="D12" s="163"/>
      <c r="E12" s="164"/>
      <c r="F12" s="171"/>
      <c r="G12" s="166">
        <v>1</v>
      </c>
      <c r="H12" s="166"/>
      <c r="I12" s="166"/>
      <c r="J12" s="166"/>
      <c r="K12" s="224">
        <f>G12</f>
        <v>1</v>
      </c>
    </row>
    <row r="13" spans="1:12" s="298" customFormat="1" ht="31.5" customHeight="1">
      <c r="A13" s="39"/>
      <c r="B13" s="152" t="s">
        <v>31</v>
      </c>
      <c r="C13" s="172" t="s">
        <v>20</v>
      </c>
      <c r="D13" s="172" t="s">
        <v>32</v>
      </c>
      <c r="E13" s="173" t="s">
        <v>33</v>
      </c>
      <c r="F13" s="153" t="s">
        <v>23</v>
      </c>
      <c r="G13" s="169"/>
      <c r="H13" s="155" t="s">
        <v>291</v>
      </c>
      <c r="I13" s="155" t="s">
        <v>292</v>
      </c>
      <c r="J13" s="169"/>
      <c r="K13" s="156" t="s">
        <v>290</v>
      </c>
      <c r="L13" s="297"/>
    </row>
    <row r="14" spans="2:11" ht="16.5" thickBot="1">
      <c r="B14" s="157"/>
      <c r="C14" s="158"/>
      <c r="D14" s="158"/>
      <c r="E14" s="159"/>
      <c r="F14" s="180"/>
      <c r="G14" s="160"/>
      <c r="H14" s="174">
        <v>25</v>
      </c>
      <c r="I14" s="161">
        <v>1.9</v>
      </c>
      <c r="J14" s="160"/>
      <c r="K14" s="225">
        <f>H14*I14</f>
        <v>47.5</v>
      </c>
    </row>
    <row r="15" spans="1:12" s="298" customFormat="1" ht="31.5">
      <c r="A15" s="39"/>
      <c r="B15" s="152" t="s">
        <v>34</v>
      </c>
      <c r="C15" s="172" t="s">
        <v>20</v>
      </c>
      <c r="D15" s="172" t="s">
        <v>35</v>
      </c>
      <c r="E15" s="175" t="s">
        <v>36</v>
      </c>
      <c r="F15" s="172" t="s">
        <v>37</v>
      </c>
      <c r="G15" s="169" t="s">
        <v>9</v>
      </c>
      <c r="H15" s="176" t="s">
        <v>293</v>
      </c>
      <c r="I15" s="176"/>
      <c r="J15" s="169"/>
      <c r="K15" s="156" t="s">
        <v>290</v>
      </c>
      <c r="L15" s="297"/>
    </row>
    <row r="16" spans="2:11" ht="16.5" thickBot="1">
      <c r="B16" s="157"/>
      <c r="C16" s="158"/>
      <c r="D16" s="158"/>
      <c r="E16" s="159"/>
      <c r="F16" s="180"/>
      <c r="G16" s="160">
        <v>1</v>
      </c>
      <c r="H16" s="161">
        <v>5</v>
      </c>
      <c r="I16" s="161"/>
      <c r="J16" s="160"/>
      <c r="K16" s="225">
        <f>G16*H16</f>
        <v>5</v>
      </c>
    </row>
    <row r="17" spans="1:12" s="298" customFormat="1" ht="15.75">
      <c r="A17" s="39"/>
      <c r="B17" s="152" t="s">
        <v>38</v>
      </c>
      <c r="C17" s="172" t="s">
        <v>20</v>
      </c>
      <c r="D17" s="153" t="s">
        <v>39</v>
      </c>
      <c r="E17" s="154" t="s">
        <v>40</v>
      </c>
      <c r="F17" s="153" t="s">
        <v>41</v>
      </c>
      <c r="G17" s="169" t="s">
        <v>294</v>
      </c>
      <c r="H17" s="176" t="s">
        <v>293</v>
      </c>
      <c r="I17" s="176"/>
      <c r="J17" s="169"/>
      <c r="K17" s="156" t="s">
        <v>290</v>
      </c>
      <c r="L17" s="297"/>
    </row>
    <row r="18" spans="2:11" ht="16.5" thickBot="1">
      <c r="B18" s="157"/>
      <c r="C18" s="158"/>
      <c r="D18" s="158"/>
      <c r="E18" s="159"/>
      <c r="F18" s="180"/>
      <c r="G18" s="160">
        <v>3</v>
      </c>
      <c r="H18" s="161">
        <v>5</v>
      </c>
      <c r="I18" s="161"/>
      <c r="J18" s="160"/>
      <c r="K18" s="225">
        <f>G18*H18</f>
        <v>15</v>
      </c>
    </row>
    <row r="19" spans="2:11" ht="31.5">
      <c r="B19" s="152" t="s">
        <v>42</v>
      </c>
      <c r="C19" s="153" t="s">
        <v>20</v>
      </c>
      <c r="D19" s="177" t="s">
        <v>43</v>
      </c>
      <c r="E19" s="178" t="s">
        <v>44</v>
      </c>
      <c r="F19" s="177" t="s">
        <v>23</v>
      </c>
      <c r="G19" s="169" t="s">
        <v>9</v>
      </c>
      <c r="H19" s="155" t="s">
        <v>291</v>
      </c>
      <c r="I19" s="155" t="s">
        <v>292</v>
      </c>
      <c r="J19" s="169"/>
      <c r="K19" s="156" t="s">
        <v>290</v>
      </c>
    </row>
    <row r="20" spans="2:11" ht="16.5" thickBot="1">
      <c r="B20" s="179"/>
      <c r="C20" s="180"/>
      <c r="D20" s="181"/>
      <c r="E20" s="182"/>
      <c r="F20" s="181"/>
      <c r="G20" s="183"/>
      <c r="H20" s="161">
        <v>1.5</v>
      </c>
      <c r="I20" s="161">
        <v>3</v>
      </c>
      <c r="J20" s="160"/>
      <c r="K20" s="225">
        <f>H20*I20</f>
        <v>4.5</v>
      </c>
    </row>
    <row r="21" spans="2:11" ht="47.25">
      <c r="B21" s="152" t="s">
        <v>414</v>
      </c>
      <c r="C21" s="184" t="s">
        <v>20</v>
      </c>
      <c r="D21" s="185" t="s">
        <v>400</v>
      </c>
      <c r="E21" s="186" t="s">
        <v>401</v>
      </c>
      <c r="F21" s="184" t="s">
        <v>23</v>
      </c>
      <c r="G21" s="169" t="s">
        <v>9</v>
      </c>
      <c r="H21" s="155" t="s">
        <v>291</v>
      </c>
      <c r="I21" s="155" t="s">
        <v>292</v>
      </c>
      <c r="J21" s="169"/>
      <c r="K21" s="156" t="s">
        <v>290</v>
      </c>
    </row>
    <row r="22" spans="2:11" ht="16.5" thickBot="1">
      <c r="B22" s="179"/>
      <c r="C22" s="180"/>
      <c r="D22" s="181"/>
      <c r="E22" s="182"/>
      <c r="F22" s="181"/>
      <c r="G22" s="183"/>
      <c r="H22" s="160">
        <v>2.2</v>
      </c>
      <c r="I22" s="160">
        <v>18.3</v>
      </c>
      <c r="J22" s="160"/>
      <c r="K22" s="225">
        <f>H22*I22</f>
        <v>40.260000000000005</v>
      </c>
    </row>
    <row r="23" spans="2:11" ht="15.75">
      <c r="B23" s="152" t="s">
        <v>415</v>
      </c>
      <c r="C23" s="184" t="s">
        <v>20</v>
      </c>
      <c r="D23" s="185" t="s">
        <v>412</v>
      </c>
      <c r="E23" s="186" t="s">
        <v>413</v>
      </c>
      <c r="F23" s="184" t="s">
        <v>23</v>
      </c>
      <c r="G23" s="169"/>
      <c r="H23" s="155" t="s">
        <v>291</v>
      </c>
      <c r="I23" s="155" t="s">
        <v>292</v>
      </c>
      <c r="J23" s="169" t="s">
        <v>303</v>
      </c>
      <c r="K23" s="156" t="s">
        <v>290</v>
      </c>
    </row>
    <row r="24" spans="2:11" ht="16.5" thickBot="1">
      <c r="B24" s="157"/>
      <c r="C24" s="158"/>
      <c r="D24" s="158"/>
      <c r="E24" s="159"/>
      <c r="F24" s="180"/>
      <c r="G24" s="160"/>
      <c r="H24" s="160">
        <v>2.2</v>
      </c>
      <c r="I24" s="160">
        <v>18.3</v>
      </c>
      <c r="J24" s="160">
        <v>2</v>
      </c>
      <c r="K24" s="225">
        <f>H24*I24*J24</f>
        <v>80.52000000000001</v>
      </c>
    </row>
    <row r="25" spans="2:11" ht="15.75">
      <c r="B25" s="152" t="s">
        <v>418</v>
      </c>
      <c r="C25" s="184" t="s">
        <v>20</v>
      </c>
      <c r="D25" s="185" t="s">
        <v>416</v>
      </c>
      <c r="E25" s="186" t="s">
        <v>417</v>
      </c>
      <c r="F25" s="184" t="s">
        <v>23</v>
      </c>
      <c r="G25" s="169"/>
      <c r="H25" s="155" t="s">
        <v>291</v>
      </c>
      <c r="I25" s="155" t="s">
        <v>292</v>
      </c>
      <c r="J25" s="169"/>
      <c r="K25" s="156" t="s">
        <v>290</v>
      </c>
    </row>
    <row r="26" spans="2:11" ht="16.5" thickBot="1">
      <c r="B26" s="162"/>
      <c r="C26" s="163"/>
      <c r="D26" s="163"/>
      <c r="E26" s="164"/>
      <c r="F26" s="171"/>
      <c r="G26" s="165"/>
      <c r="H26" s="166">
        <v>2.2</v>
      </c>
      <c r="I26" s="166">
        <v>18.3</v>
      </c>
      <c r="J26" s="165"/>
      <c r="K26" s="222">
        <f>H26*I26</f>
        <v>40.260000000000005</v>
      </c>
    </row>
    <row r="27" spans="2:11" ht="16.5" thickBot="1">
      <c r="B27" s="190">
        <v>3</v>
      </c>
      <c r="C27" s="191"/>
      <c r="D27" s="191"/>
      <c r="E27" s="208" t="s">
        <v>45</v>
      </c>
      <c r="F27" s="209"/>
      <c r="G27" s="209"/>
      <c r="H27" s="209"/>
      <c r="I27" s="209"/>
      <c r="J27" s="209"/>
      <c r="K27" s="210"/>
    </row>
    <row r="28" spans="2:11" ht="16.5" thickBot="1">
      <c r="B28" s="211" t="s">
        <v>46</v>
      </c>
      <c r="C28" s="212"/>
      <c r="D28" s="212"/>
      <c r="E28" s="213" t="s">
        <v>47</v>
      </c>
      <c r="F28" s="214"/>
      <c r="G28" s="214"/>
      <c r="H28" s="214"/>
      <c r="I28" s="214"/>
      <c r="J28" s="214"/>
      <c r="K28" s="215"/>
    </row>
    <row r="29" spans="1:12" s="298" customFormat="1" ht="15.75">
      <c r="A29" s="39"/>
      <c r="B29" s="152" t="s">
        <v>48</v>
      </c>
      <c r="C29" s="153" t="s">
        <v>20</v>
      </c>
      <c r="D29" s="153" t="s">
        <v>49</v>
      </c>
      <c r="E29" s="154" t="s">
        <v>50</v>
      </c>
      <c r="F29" s="153" t="s">
        <v>51</v>
      </c>
      <c r="G29" s="153"/>
      <c r="H29" s="155" t="s">
        <v>291</v>
      </c>
      <c r="I29" s="153"/>
      <c r="J29" s="153"/>
      <c r="K29" s="156" t="s">
        <v>290</v>
      </c>
      <c r="L29" s="297"/>
    </row>
    <row r="30" spans="2:11" ht="15.75" thickBot="1">
      <c r="B30" s="157"/>
      <c r="C30" s="158"/>
      <c r="D30" s="158"/>
      <c r="E30" s="159"/>
      <c r="F30" s="158"/>
      <c r="G30" s="158"/>
      <c r="H30" s="216">
        <v>4.8</v>
      </c>
      <c r="I30" s="158"/>
      <c r="J30" s="158"/>
      <c r="K30" s="168">
        <f>H30</f>
        <v>4.8</v>
      </c>
    </row>
    <row r="31" spans="1:12" s="298" customFormat="1" ht="15.75">
      <c r="A31" s="39"/>
      <c r="B31" s="152" t="s">
        <v>52</v>
      </c>
      <c r="C31" s="153" t="s">
        <v>20</v>
      </c>
      <c r="D31" s="153" t="s">
        <v>53</v>
      </c>
      <c r="E31" s="154" t="s">
        <v>54</v>
      </c>
      <c r="F31" s="153" t="s">
        <v>55</v>
      </c>
      <c r="G31" s="155" t="s">
        <v>295</v>
      </c>
      <c r="H31" s="155" t="s">
        <v>291</v>
      </c>
      <c r="I31" s="153" t="s">
        <v>292</v>
      </c>
      <c r="J31" s="153"/>
      <c r="K31" s="156" t="s">
        <v>290</v>
      </c>
      <c r="L31" s="297"/>
    </row>
    <row r="32" spans="2:11" ht="15">
      <c r="B32" s="217"/>
      <c r="C32" s="55"/>
      <c r="D32" s="55"/>
      <c r="E32" s="56" t="s">
        <v>296</v>
      </c>
      <c r="F32" s="105"/>
      <c r="G32" s="105">
        <v>1.5</v>
      </c>
      <c r="H32" s="105">
        <v>4.9</v>
      </c>
      <c r="I32" s="105">
        <v>0.06</v>
      </c>
      <c r="J32" s="105"/>
      <c r="K32" s="218">
        <f>G32*H32*I32</f>
        <v>0.441</v>
      </c>
    </row>
    <row r="33" spans="2:11" ht="15">
      <c r="B33" s="217"/>
      <c r="C33" s="55"/>
      <c r="D33" s="55"/>
      <c r="E33" s="56" t="s">
        <v>305</v>
      </c>
      <c r="F33" s="55"/>
      <c r="G33" s="105">
        <v>0.2</v>
      </c>
      <c r="H33" s="105">
        <v>4.8</v>
      </c>
      <c r="I33" s="105">
        <v>0.46</v>
      </c>
      <c r="J33" s="105"/>
      <c r="K33" s="218">
        <f>G33*H33*I33</f>
        <v>0.4416</v>
      </c>
    </row>
    <row r="34" spans="2:11" ht="15.75" thickBot="1">
      <c r="B34" s="219"/>
      <c r="C34" s="159"/>
      <c r="D34" s="159"/>
      <c r="E34" s="159"/>
      <c r="F34" s="158"/>
      <c r="G34" s="158"/>
      <c r="H34" s="158"/>
      <c r="I34" s="158"/>
      <c r="J34" s="158"/>
      <c r="K34" s="220">
        <f>SUM(K32:K33)</f>
        <v>0.8826</v>
      </c>
    </row>
    <row r="35" spans="1:12" s="298" customFormat="1" ht="31.5">
      <c r="A35" s="39"/>
      <c r="B35" s="152" t="s">
        <v>56</v>
      </c>
      <c r="C35" s="153" t="s">
        <v>20</v>
      </c>
      <c r="D35" s="153" t="s">
        <v>57</v>
      </c>
      <c r="E35" s="173" t="s">
        <v>58</v>
      </c>
      <c r="F35" s="153" t="s">
        <v>55</v>
      </c>
      <c r="G35" s="155" t="s">
        <v>295</v>
      </c>
      <c r="H35" s="155" t="s">
        <v>291</v>
      </c>
      <c r="I35" s="153" t="s">
        <v>292</v>
      </c>
      <c r="J35" s="153" t="s">
        <v>298</v>
      </c>
      <c r="K35" s="156" t="s">
        <v>290</v>
      </c>
      <c r="L35" s="297"/>
    </row>
    <row r="36" spans="2:11" ht="15">
      <c r="B36" s="217"/>
      <c r="C36" s="55"/>
      <c r="D36" s="55"/>
      <c r="E36" s="107" t="s">
        <v>299</v>
      </c>
      <c r="F36" s="55"/>
      <c r="G36" s="55">
        <v>1.5</v>
      </c>
      <c r="H36" s="55">
        <v>1.9</v>
      </c>
      <c r="I36" s="55">
        <v>0.53</v>
      </c>
      <c r="J36" s="55"/>
      <c r="K36" s="218">
        <f>G36*H36*I36</f>
        <v>1.5105</v>
      </c>
    </row>
    <row r="37" spans="2:11" ht="15">
      <c r="B37" s="217"/>
      <c r="C37" s="55"/>
      <c r="D37" s="55"/>
      <c r="E37" s="107" t="s">
        <v>300</v>
      </c>
      <c r="F37" s="55"/>
      <c r="G37" s="55">
        <v>1.5</v>
      </c>
      <c r="H37" s="55">
        <v>0.9</v>
      </c>
      <c r="I37" s="55">
        <v>0.53</v>
      </c>
      <c r="J37" s="55">
        <v>2</v>
      </c>
      <c r="K37" s="218">
        <f>G37*H37*I37*J37</f>
        <v>1.4310000000000003</v>
      </c>
    </row>
    <row r="38" spans="2:11" ht="15">
      <c r="B38" s="217"/>
      <c r="C38" s="55"/>
      <c r="D38" s="55"/>
      <c r="E38" s="107" t="s">
        <v>301</v>
      </c>
      <c r="F38" s="55"/>
      <c r="G38" s="55">
        <v>0.4</v>
      </c>
      <c r="H38" s="55">
        <v>1.45</v>
      </c>
      <c r="I38" s="55">
        <v>0.33</v>
      </c>
      <c r="J38" s="55"/>
      <c r="K38" s="218">
        <f>G38*H38*I38</f>
        <v>0.1914</v>
      </c>
    </row>
    <row r="39" spans="2:11" ht="15.75" thickBot="1">
      <c r="B39" s="162"/>
      <c r="C39" s="163"/>
      <c r="D39" s="163"/>
      <c r="E39" s="226"/>
      <c r="F39" s="163"/>
      <c r="G39" s="165"/>
      <c r="H39" s="163"/>
      <c r="I39" s="163"/>
      <c r="J39" s="163"/>
      <c r="K39" s="227">
        <f>SUM(K36:K38)</f>
        <v>3.1329000000000002</v>
      </c>
    </row>
    <row r="40" spans="1:12" s="298" customFormat="1" ht="15.75">
      <c r="A40" s="39"/>
      <c r="B40" s="152" t="s">
        <v>59</v>
      </c>
      <c r="C40" s="153" t="s">
        <v>20</v>
      </c>
      <c r="D40" s="153" t="s">
        <v>60</v>
      </c>
      <c r="E40" s="154" t="s">
        <v>61</v>
      </c>
      <c r="F40" s="153" t="s">
        <v>55</v>
      </c>
      <c r="G40" s="155" t="s">
        <v>295</v>
      </c>
      <c r="H40" s="155" t="s">
        <v>291</v>
      </c>
      <c r="I40" s="153" t="s">
        <v>292</v>
      </c>
      <c r="J40" s="153" t="s">
        <v>298</v>
      </c>
      <c r="K40" s="228" t="s">
        <v>290</v>
      </c>
      <c r="L40" s="297"/>
    </row>
    <row r="41" spans="2:11" ht="15">
      <c r="B41" s="217"/>
      <c r="C41" s="55"/>
      <c r="D41" s="55"/>
      <c r="E41" s="107" t="s">
        <v>299</v>
      </c>
      <c r="F41" s="55"/>
      <c r="G41" s="100">
        <v>1.4</v>
      </c>
      <c r="H41" s="105">
        <v>1.8</v>
      </c>
      <c r="I41" s="105">
        <v>0.03</v>
      </c>
      <c r="J41" s="105"/>
      <c r="K41" s="218">
        <f>G41*H41*I41</f>
        <v>0.0756</v>
      </c>
    </row>
    <row r="42" spans="2:11" ht="15">
      <c r="B42" s="217"/>
      <c r="C42" s="55"/>
      <c r="D42" s="55"/>
      <c r="E42" s="107" t="s">
        <v>300</v>
      </c>
      <c r="F42" s="55"/>
      <c r="G42" s="100">
        <v>0.8</v>
      </c>
      <c r="H42" s="105">
        <v>1.4</v>
      </c>
      <c r="I42" s="105">
        <v>0.03</v>
      </c>
      <c r="J42" s="105">
        <v>2</v>
      </c>
      <c r="K42" s="218">
        <f>G42*H42*I42*J42</f>
        <v>0.0672</v>
      </c>
    </row>
    <row r="43" spans="2:11" ht="15">
      <c r="B43" s="217"/>
      <c r="C43" s="55"/>
      <c r="D43" s="55"/>
      <c r="E43" s="107" t="s">
        <v>301</v>
      </c>
      <c r="F43" s="55"/>
      <c r="G43" s="100">
        <v>0.3</v>
      </c>
      <c r="H43" s="105">
        <v>1.65</v>
      </c>
      <c r="I43" s="105">
        <v>0.03</v>
      </c>
      <c r="J43" s="105"/>
      <c r="K43" s="218">
        <f>G43*H43*I43</f>
        <v>0.014849999999999997</v>
      </c>
    </row>
    <row r="44" spans="2:11" ht="18" customHeight="1" thickBot="1">
      <c r="B44" s="219"/>
      <c r="C44" s="159"/>
      <c r="D44" s="159"/>
      <c r="E44" s="159"/>
      <c r="F44" s="158"/>
      <c r="G44" s="158"/>
      <c r="H44" s="158"/>
      <c r="I44" s="158"/>
      <c r="J44" s="158"/>
      <c r="K44" s="220">
        <f>SUM(K41:K43)</f>
        <v>0.15764999999999998</v>
      </c>
    </row>
    <row r="45" spans="1:12" s="298" customFormat="1" ht="47.25">
      <c r="A45" s="39"/>
      <c r="B45" s="229" t="s">
        <v>62</v>
      </c>
      <c r="C45" s="230" t="s">
        <v>20</v>
      </c>
      <c r="D45" s="230" t="s">
        <v>63</v>
      </c>
      <c r="E45" s="231" t="s">
        <v>64</v>
      </c>
      <c r="F45" s="230" t="s">
        <v>55</v>
      </c>
      <c r="G45" s="232" t="s">
        <v>295</v>
      </c>
      <c r="H45" s="232" t="s">
        <v>291</v>
      </c>
      <c r="I45" s="230" t="s">
        <v>292</v>
      </c>
      <c r="J45" s="230" t="s">
        <v>303</v>
      </c>
      <c r="K45" s="233" t="s">
        <v>290</v>
      </c>
      <c r="L45" s="297"/>
    </row>
    <row r="46" spans="2:11" ht="15">
      <c r="B46" s="234"/>
      <c r="C46" s="111"/>
      <c r="D46" s="111"/>
      <c r="E46" s="112" t="s">
        <v>304</v>
      </c>
      <c r="F46" s="111"/>
      <c r="G46" s="113">
        <v>1.9</v>
      </c>
      <c r="H46" s="113">
        <v>4.8</v>
      </c>
      <c r="I46" s="113">
        <v>0.06</v>
      </c>
      <c r="J46" s="111"/>
      <c r="K46" s="235">
        <f>G46*H46*I46</f>
        <v>0.5471999999999999</v>
      </c>
    </row>
    <row r="47" spans="2:11" ht="15">
      <c r="B47" s="234"/>
      <c r="C47" s="111"/>
      <c r="D47" s="111"/>
      <c r="E47" s="112" t="s">
        <v>305</v>
      </c>
      <c r="F47" s="111"/>
      <c r="G47" s="113">
        <v>0.2</v>
      </c>
      <c r="H47" s="113">
        <v>4.8</v>
      </c>
      <c r="I47" s="113">
        <v>0.46</v>
      </c>
      <c r="J47" s="111"/>
      <c r="K47" s="235">
        <f>G47*H47*I47</f>
        <v>0.4416</v>
      </c>
    </row>
    <row r="48" spans="2:11" ht="15">
      <c r="B48" s="247"/>
      <c r="C48" s="57"/>
      <c r="D48" s="57"/>
      <c r="E48" s="127" t="s">
        <v>306</v>
      </c>
      <c r="F48" s="57"/>
      <c r="G48" s="128">
        <v>1.4</v>
      </c>
      <c r="H48" s="128">
        <v>1.8</v>
      </c>
      <c r="I48" s="128">
        <v>0.53</v>
      </c>
      <c r="J48" s="57"/>
      <c r="K48" s="248">
        <f>G48*H48*I48</f>
        <v>1.3356000000000001</v>
      </c>
    </row>
    <row r="49" spans="2:11" ht="15">
      <c r="B49" s="247"/>
      <c r="C49" s="57"/>
      <c r="D49" s="57"/>
      <c r="E49" s="127" t="s">
        <v>307</v>
      </c>
      <c r="F49" s="57"/>
      <c r="G49" s="128">
        <v>1.4</v>
      </c>
      <c r="H49" s="128">
        <v>0.8</v>
      </c>
      <c r="I49" s="128">
        <v>0.53</v>
      </c>
      <c r="J49" s="57">
        <v>2</v>
      </c>
      <c r="K49" s="248">
        <f>G49*H49*I49*J49</f>
        <v>1.1872</v>
      </c>
    </row>
    <row r="50" spans="2:11" ht="15">
      <c r="B50" s="247"/>
      <c r="C50" s="57"/>
      <c r="D50" s="57"/>
      <c r="E50" s="127" t="s">
        <v>308</v>
      </c>
      <c r="F50" s="57"/>
      <c r="G50" s="57">
        <v>0.3</v>
      </c>
      <c r="H50" s="57">
        <v>1.65</v>
      </c>
      <c r="I50" s="57">
        <v>0.33</v>
      </c>
      <c r="J50" s="57"/>
      <c r="K50" s="248">
        <f>G50*H50*I50</f>
        <v>0.16335</v>
      </c>
    </row>
    <row r="51" spans="2:11" ht="15">
      <c r="B51" s="247"/>
      <c r="C51" s="57"/>
      <c r="D51" s="57"/>
      <c r="E51" s="127" t="s">
        <v>309</v>
      </c>
      <c r="F51" s="57"/>
      <c r="G51" s="128">
        <f>3.14*0.125^2</f>
        <v>0.0490625</v>
      </c>
      <c r="H51" s="57">
        <v>4</v>
      </c>
      <c r="I51" s="57"/>
      <c r="J51" s="57">
        <v>10</v>
      </c>
      <c r="K51" s="248">
        <f>G51*H51*J51</f>
        <v>1.9625000000000001</v>
      </c>
    </row>
    <row r="52" spans="2:11" ht="18.75" customHeight="1" thickBot="1">
      <c r="B52" s="219"/>
      <c r="C52" s="159"/>
      <c r="D52" s="159"/>
      <c r="E52" s="159"/>
      <c r="F52" s="158"/>
      <c r="G52" s="158"/>
      <c r="H52" s="158"/>
      <c r="I52" s="158"/>
      <c r="J52" s="158"/>
      <c r="K52" s="220">
        <f>SUM(K46:K51)</f>
        <v>5.637449999999999</v>
      </c>
    </row>
    <row r="53" spans="2:11" ht="16.5" thickBot="1">
      <c r="B53" s="190" t="s">
        <v>65</v>
      </c>
      <c r="C53" s="191"/>
      <c r="D53" s="209"/>
      <c r="E53" s="208" t="s">
        <v>66</v>
      </c>
      <c r="F53" s="209"/>
      <c r="G53" s="209"/>
      <c r="H53" s="209"/>
      <c r="I53" s="209"/>
      <c r="J53" s="209"/>
      <c r="K53" s="210"/>
    </row>
    <row r="54" spans="1:12" s="298" customFormat="1" ht="15.75">
      <c r="A54" s="39"/>
      <c r="B54" s="188" t="s">
        <v>67</v>
      </c>
      <c r="C54" s="149" t="s">
        <v>20</v>
      </c>
      <c r="D54" s="236" t="s">
        <v>68</v>
      </c>
      <c r="E54" s="150" t="s">
        <v>69</v>
      </c>
      <c r="F54" s="149" t="s">
        <v>51</v>
      </c>
      <c r="G54" s="167" t="s">
        <v>9</v>
      </c>
      <c r="H54" s="151" t="s">
        <v>291</v>
      </c>
      <c r="I54" s="167"/>
      <c r="J54" s="167"/>
      <c r="K54" s="237" t="s">
        <v>290</v>
      </c>
      <c r="L54" s="297"/>
    </row>
    <row r="55" spans="2:11" ht="15.75" thickBot="1">
      <c r="B55" s="162"/>
      <c r="C55" s="163"/>
      <c r="D55" s="207"/>
      <c r="E55" s="164"/>
      <c r="F55" s="163"/>
      <c r="G55" s="166">
        <v>10</v>
      </c>
      <c r="H55" s="187">
        <v>4.2</v>
      </c>
      <c r="I55" s="166"/>
      <c r="J55" s="166"/>
      <c r="K55" s="170">
        <f>G55*H55</f>
        <v>42</v>
      </c>
    </row>
    <row r="56" spans="1:12" s="298" customFormat="1" ht="15.75">
      <c r="A56" s="39"/>
      <c r="B56" s="152" t="s">
        <v>70</v>
      </c>
      <c r="C56" s="153" t="s">
        <v>20</v>
      </c>
      <c r="D56" s="153" t="s">
        <v>71</v>
      </c>
      <c r="E56" s="154" t="s">
        <v>72</v>
      </c>
      <c r="F56" s="153" t="s">
        <v>73</v>
      </c>
      <c r="G56" s="169" t="s">
        <v>9</v>
      </c>
      <c r="H56" s="169" t="s">
        <v>291</v>
      </c>
      <c r="I56" s="169" t="s">
        <v>310</v>
      </c>
      <c r="J56" s="169" t="s">
        <v>298</v>
      </c>
      <c r="K56" s="238" t="s">
        <v>290</v>
      </c>
      <c r="L56" s="297"/>
    </row>
    <row r="57" spans="2:11" ht="15">
      <c r="B57" s="217"/>
      <c r="C57" s="55"/>
      <c r="D57" s="55"/>
      <c r="E57" s="56" t="s">
        <v>311</v>
      </c>
      <c r="F57" s="55"/>
      <c r="G57" s="100">
        <v>4</v>
      </c>
      <c r="H57" s="100">
        <v>4.2</v>
      </c>
      <c r="I57" s="115">
        <v>0.963</v>
      </c>
      <c r="J57" s="100">
        <v>5</v>
      </c>
      <c r="K57" s="239">
        <f>G57*H57*I57*J57</f>
        <v>80.892</v>
      </c>
    </row>
    <row r="58" spans="2:11" ht="15">
      <c r="B58" s="217"/>
      <c r="C58" s="55"/>
      <c r="D58" s="55"/>
      <c r="E58" s="56" t="s">
        <v>312</v>
      </c>
      <c r="F58" s="55"/>
      <c r="G58" s="100">
        <v>4</v>
      </c>
      <c r="H58" s="100">
        <v>4.2</v>
      </c>
      <c r="I58" s="115">
        <v>0.617</v>
      </c>
      <c r="J58" s="100">
        <v>5</v>
      </c>
      <c r="K58" s="239">
        <f>G58*H58*I58*J58</f>
        <v>51.828</v>
      </c>
    </row>
    <row r="59" spans="2:11" ht="15">
      <c r="B59" s="217"/>
      <c r="C59" s="55"/>
      <c r="D59" s="55"/>
      <c r="E59" s="56" t="s">
        <v>313</v>
      </c>
      <c r="F59" s="55"/>
      <c r="G59" s="100">
        <f>4.2/0.15</f>
        <v>28.000000000000004</v>
      </c>
      <c r="H59" s="100">
        <v>0.66</v>
      </c>
      <c r="I59" s="115">
        <v>0.245</v>
      </c>
      <c r="J59" s="100">
        <v>10</v>
      </c>
      <c r="K59" s="239">
        <f>G59*H59*I59*J59</f>
        <v>45.276</v>
      </c>
    </row>
    <row r="60" spans="2:11" ht="18" customHeight="1" thickBot="1">
      <c r="B60" s="219"/>
      <c r="C60" s="159"/>
      <c r="D60" s="159"/>
      <c r="E60" s="159"/>
      <c r="F60" s="158"/>
      <c r="G60" s="158"/>
      <c r="H60" s="158"/>
      <c r="I60" s="158"/>
      <c r="J60" s="158"/>
      <c r="K60" s="220">
        <f>SUM(K57:K59)</f>
        <v>177.996</v>
      </c>
    </row>
    <row r="61" spans="2:11" ht="16.5" thickBot="1">
      <c r="B61" s="190" t="s">
        <v>74</v>
      </c>
      <c r="C61" s="209"/>
      <c r="D61" s="209"/>
      <c r="E61" s="208" t="s">
        <v>314</v>
      </c>
      <c r="F61" s="209"/>
      <c r="G61" s="209"/>
      <c r="H61" s="209"/>
      <c r="I61" s="209"/>
      <c r="J61" s="209"/>
      <c r="K61" s="210"/>
    </row>
    <row r="62" spans="1:12" s="298" customFormat="1" ht="15.75">
      <c r="A62" s="39"/>
      <c r="B62" s="152" t="s">
        <v>76</v>
      </c>
      <c r="C62" s="153" t="s">
        <v>20</v>
      </c>
      <c r="D62" s="153" t="s">
        <v>77</v>
      </c>
      <c r="E62" s="154" t="s">
        <v>78</v>
      </c>
      <c r="F62" s="153" t="s">
        <v>55</v>
      </c>
      <c r="G62" s="155" t="s">
        <v>295</v>
      </c>
      <c r="H62" s="155" t="s">
        <v>291</v>
      </c>
      <c r="I62" s="169" t="s">
        <v>292</v>
      </c>
      <c r="J62" s="169" t="s">
        <v>298</v>
      </c>
      <c r="K62" s="238" t="s">
        <v>290</v>
      </c>
      <c r="L62" s="297"/>
    </row>
    <row r="63" spans="2:11" ht="15">
      <c r="B63" s="217"/>
      <c r="C63" s="55"/>
      <c r="D63" s="55"/>
      <c r="E63" s="107" t="s">
        <v>299</v>
      </c>
      <c r="F63" s="55"/>
      <c r="G63" s="55">
        <v>1.4</v>
      </c>
      <c r="H63" s="55">
        <v>1.8</v>
      </c>
      <c r="I63" s="55">
        <v>0.5</v>
      </c>
      <c r="J63" s="55"/>
      <c r="K63" s="218">
        <f>G63*H63*I63</f>
        <v>1.26</v>
      </c>
    </row>
    <row r="64" spans="2:11" ht="15">
      <c r="B64" s="217"/>
      <c r="C64" s="55"/>
      <c r="D64" s="55"/>
      <c r="E64" s="107" t="s">
        <v>300</v>
      </c>
      <c r="F64" s="55"/>
      <c r="G64" s="55">
        <v>1.4</v>
      </c>
      <c r="H64" s="55">
        <v>0.8</v>
      </c>
      <c r="I64" s="55">
        <v>0.5</v>
      </c>
      <c r="J64" s="55">
        <v>2</v>
      </c>
      <c r="K64" s="218">
        <f>G64*H64*I64*J64</f>
        <v>1.1199999999999999</v>
      </c>
    </row>
    <row r="65" spans="2:11" ht="15">
      <c r="B65" s="217"/>
      <c r="C65" s="55"/>
      <c r="D65" s="55"/>
      <c r="E65" s="107" t="s">
        <v>301</v>
      </c>
      <c r="F65" s="55"/>
      <c r="G65" s="55">
        <v>0.3</v>
      </c>
      <c r="H65" s="55">
        <v>1.65</v>
      </c>
      <c r="I65" s="55">
        <v>0.3</v>
      </c>
      <c r="J65" s="55"/>
      <c r="K65" s="218">
        <f>G65*H65*I65</f>
        <v>0.14849999999999997</v>
      </c>
    </row>
    <row r="66" spans="2:11" ht="18" customHeight="1" thickBot="1">
      <c r="B66" s="219"/>
      <c r="C66" s="159"/>
      <c r="D66" s="159"/>
      <c r="E66" s="159"/>
      <c r="F66" s="158"/>
      <c r="G66" s="158"/>
      <c r="H66" s="158"/>
      <c r="I66" s="158"/>
      <c r="J66" s="158"/>
      <c r="K66" s="240">
        <f>SUM(K63:K65)</f>
        <v>2.5284999999999997</v>
      </c>
    </row>
    <row r="67" spans="1:12" s="298" customFormat="1" ht="15.75">
      <c r="A67" s="39"/>
      <c r="B67" s="152" t="s">
        <v>79</v>
      </c>
      <c r="C67" s="153" t="s">
        <v>20</v>
      </c>
      <c r="D67" s="153" t="s">
        <v>80</v>
      </c>
      <c r="E67" s="154" t="s">
        <v>81</v>
      </c>
      <c r="F67" s="153" t="s">
        <v>55</v>
      </c>
      <c r="G67" s="155" t="s">
        <v>295</v>
      </c>
      <c r="H67" s="155" t="s">
        <v>291</v>
      </c>
      <c r="I67" s="169" t="s">
        <v>292</v>
      </c>
      <c r="J67" s="169" t="s">
        <v>298</v>
      </c>
      <c r="K67" s="238" t="s">
        <v>290</v>
      </c>
      <c r="L67" s="297"/>
    </row>
    <row r="68" spans="2:11" ht="15">
      <c r="B68" s="241"/>
      <c r="C68" s="116"/>
      <c r="D68" s="116"/>
      <c r="E68" s="107" t="s">
        <v>299</v>
      </c>
      <c r="F68" s="55"/>
      <c r="G68" s="55">
        <v>1.4</v>
      </c>
      <c r="H68" s="55">
        <v>1.8</v>
      </c>
      <c r="I68" s="55">
        <v>0.5</v>
      </c>
      <c r="J68" s="55"/>
      <c r="K68" s="218">
        <f>G68*H68*I68</f>
        <v>1.26</v>
      </c>
    </row>
    <row r="69" spans="2:11" ht="15">
      <c r="B69" s="241"/>
      <c r="C69" s="116"/>
      <c r="D69" s="116"/>
      <c r="E69" s="107" t="s">
        <v>300</v>
      </c>
      <c r="F69" s="55"/>
      <c r="G69" s="55">
        <v>1.4</v>
      </c>
      <c r="H69" s="55">
        <v>0.8</v>
      </c>
      <c r="I69" s="55">
        <v>0.5</v>
      </c>
      <c r="J69" s="55">
        <v>2</v>
      </c>
      <c r="K69" s="218">
        <f>G69*H69*I69*J69</f>
        <v>1.1199999999999999</v>
      </c>
    </row>
    <row r="70" spans="2:11" ht="15">
      <c r="B70" s="241"/>
      <c r="C70" s="116"/>
      <c r="D70" s="116"/>
      <c r="E70" s="107" t="s">
        <v>301</v>
      </c>
      <c r="F70" s="55"/>
      <c r="G70" s="55">
        <v>0.3</v>
      </c>
      <c r="H70" s="55">
        <v>1.65</v>
      </c>
      <c r="I70" s="55">
        <v>0.3</v>
      </c>
      <c r="J70" s="55"/>
      <c r="K70" s="218">
        <f>G70*H70*I70</f>
        <v>0.14849999999999997</v>
      </c>
    </row>
    <row r="71" spans="2:11" ht="18" customHeight="1" thickBot="1">
      <c r="B71" s="242"/>
      <c r="C71" s="243"/>
      <c r="D71" s="243"/>
      <c r="E71" s="243"/>
      <c r="F71" s="207"/>
      <c r="G71" s="207"/>
      <c r="H71" s="207"/>
      <c r="I71" s="207"/>
      <c r="J71" s="163"/>
      <c r="K71" s="244">
        <f>SUM(K68:K70)</f>
        <v>2.5284999999999997</v>
      </c>
    </row>
    <row r="72" spans="1:12" s="298" customFormat="1" ht="15.75">
      <c r="A72" s="39"/>
      <c r="B72" s="152" t="s">
        <v>82</v>
      </c>
      <c r="C72" s="153" t="s">
        <v>20</v>
      </c>
      <c r="D72" s="153" t="s">
        <v>71</v>
      </c>
      <c r="E72" s="154" t="s">
        <v>72</v>
      </c>
      <c r="F72" s="153" t="s">
        <v>73</v>
      </c>
      <c r="G72" s="169" t="s">
        <v>9</v>
      </c>
      <c r="H72" s="169" t="s">
        <v>291</v>
      </c>
      <c r="I72" s="169" t="s">
        <v>310</v>
      </c>
      <c r="J72" s="169" t="s">
        <v>298</v>
      </c>
      <c r="K72" s="238" t="s">
        <v>290</v>
      </c>
      <c r="L72" s="297"/>
    </row>
    <row r="73" spans="2:11" ht="15">
      <c r="B73" s="217"/>
      <c r="C73" s="55"/>
      <c r="D73" s="55"/>
      <c r="E73" s="56" t="s">
        <v>315</v>
      </c>
      <c r="F73" s="55"/>
      <c r="G73" s="100">
        <v>12</v>
      </c>
      <c r="H73" s="100">
        <f>3.9-0.12</f>
        <v>3.78</v>
      </c>
      <c r="I73" s="115">
        <v>0.395</v>
      </c>
      <c r="J73" s="100"/>
      <c r="K73" s="239">
        <f>G73*H73*I73</f>
        <v>17.9172</v>
      </c>
    </row>
    <row r="74" spans="2:11" ht="15">
      <c r="B74" s="217"/>
      <c r="C74" s="55"/>
      <c r="D74" s="55"/>
      <c r="E74" s="56" t="s">
        <v>315</v>
      </c>
      <c r="F74" s="55"/>
      <c r="G74" s="100">
        <v>10</v>
      </c>
      <c r="H74" s="100">
        <f>4.7-0.12</f>
        <v>4.58</v>
      </c>
      <c r="I74" s="115">
        <v>0.395</v>
      </c>
      <c r="J74" s="100"/>
      <c r="K74" s="239">
        <f>G74*H74*I74</f>
        <v>18.091</v>
      </c>
    </row>
    <row r="75" spans="2:11" ht="15">
      <c r="B75" s="217"/>
      <c r="C75" s="55"/>
      <c r="D75" s="55"/>
      <c r="E75" s="56" t="s">
        <v>316</v>
      </c>
      <c r="F75" s="55"/>
      <c r="G75" s="100">
        <v>6</v>
      </c>
      <c r="H75" s="100">
        <f>3.9-0.12</f>
        <v>3.78</v>
      </c>
      <c r="I75" s="115">
        <v>0.395</v>
      </c>
      <c r="J75" s="99">
        <v>2</v>
      </c>
      <c r="K75" s="239">
        <f>G75*H75*I75*J75</f>
        <v>17.9172</v>
      </c>
    </row>
    <row r="76" spans="2:11" ht="15">
      <c r="B76" s="217"/>
      <c r="C76" s="55"/>
      <c r="D76" s="55"/>
      <c r="E76" s="56" t="s">
        <v>316</v>
      </c>
      <c r="F76" s="55"/>
      <c r="G76" s="100">
        <v>10</v>
      </c>
      <c r="H76" s="100">
        <f>2.7-0.12</f>
        <v>2.58</v>
      </c>
      <c r="I76" s="115">
        <v>0.395</v>
      </c>
      <c r="J76" s="99">
        <v>2</v>
      </c>
      <c r="K76" s="239">
        <f>G76*H76*I76*J76</f>
        <v>20.382</v>
      </c>
    </row>
    <row r="77" spans="2:11" ht="15">
      <c r="B77" s="217"/>
      <c r="C77" s="55"/>
      <c r="D77" s="55"/>
      <c r="E77" s="56" t="s">
        <v>317</v>
      </c>
      <c r="F77" s="55"/>
      <c r="G77" s="100">
        <v>4</v>
      </c>
      <c r="H77" s="100">
        <v>4.8</v>
      </c>
      <c r="I77" s="115">
        <v>0.963</v>
      </c>
      <c r="J77" s="99"/>
      <c r="K77" s="239">
        <f>G77*H77*I77</f>
        <v>18.4896</v>
      </c>
    </row>
    <row r="78" spans="2:11" ht="18" customHeight="1">
      <c r="B78" s="245"/>
      <c r="C78" s="56"/>
      <c r="D78" s="56"/>
      <c r="E78" s="56" t="s">
        <v>318</v>
      </c>
      <c r="F78" s="55"/>
      <c r="G78" s="55">
        <f>4.8/0.15</f>
        <v>32</v>
      </c>
      <c r="H78" s="55">
        <v>1.02</v>
      </c>
      <c r="I78" s="115">
        <v>0.245</v>
      </c>
      <c r="J78" s="55"/>
      <c r="K78" s="239">
        <f>G78*H78*I78</f>
        <v>7.9968</v>
      </c>
    </row>
    <row r="79" spans="2:11" ht="18" customHeight="1" thickBot="1">
      <c r="B79" s="219"/>
      <c r="C79" s="159"/>
      <c r="D79" s="159"/>
      <c r="E79" s="159"/>
      <c r="F79" s="158"/>
      <c r="G79" s="158"/>
      <c r="H79" s="158"/>
      <c r="I79" s="246"/>
      <c r="J79" s="158"/>
      <c r="K79" s="240">
        <f>SUM(K73:K78)</f>
        <v>100.7938</v>
      </c>
    </row>
    <row r="80" spans="1:12" s="298" customFormat="1" ht="15.75">
      <c r="A80" s="39"/>
      <c r="B80" s="152" t="s">
        <v>83</v>
      </c>
      <c r="C80" s="153" t="s">
        <v>20</v>
      </c>
      <c r="D80" s="153" t="s">
        <v>84</v>
      </c>
      <c r="E80" s="154" t="s">
        <v>85</v>
      </c>
      <c r="F80" s="153" t="s">
        <v>23</v>
      </c>
      <c r="G80" s="169"/>
      <c r="H80" s="155" t="s">
        <v>291</v>
      </c>
      <c r="I80" s="169" t="s">
        <v>292</v>
      </c>
      <c r="J80" s="169"/>
      <c r="K80" s="238" t="s">
        <v>290</v>
      </c>
      <c r="L80" s="297"/>
    </row>
    <row r="81" spans="2:11" ht="15">
      <c r="B81" s="217"/>
      <c r="C81" s="55"/>
      <c r="D81" s="55"/>
      <c r="E81" s="56" t="s">
        <v>319</v>
      </c>
      <c r="F81" s="55"/>
      <c r="G81" s="99"/>
      <c r="H81" s="98">
        <f>6.1+3.8+3.8</f>
        <v>13.7</v>
      </c>
      <c r="I81" s="99">
        <v>0.5</v>
      </c>
      <c r="J81" s="99"/>
      <c r="K81" s="239">
        <f>H81*I81</f>
        <v>6.85</v>
      </c>
    </row>
    <row r="82" spans="2:11" ht="15">
      <c r="B82" s="217"/>
      <c r="C82" s="55"/>
      <c r="D82" s="55"/>
      <c r="E82" s="56" t="s">
        <v>320</v>
      </c>
      <c r="F82" s="55"/>
      <c r="G82" s="99"/>
      <c r="H82" s="100">
        <f>1.65*2</f>
        <v>3.3</v>
      </c>
      <c r="I82" s="100">
        <v>0.3</v>
      </c>
      <c r="J82" s="100"/>
      <c r="K82" s="239">
        <f>H82*I82</f>
        <v>0.9899999999999999</v>
      </c>
    </row>
    <row r="83" spans="2:11" ht="15.75" thickBot="1">
      <c r="B83" s="162"/>
      <c r="C83" s="163"/>
      <c r="D83" s="163"/>
      <c r="E83" s="164"/>
      <c r="F83" s="163"/>
      <c r="G83" s="165"/>
      <c r="H83" s="166"/>
      <c r="I83" s="166"/>
      <c r="J83" s="163"/>
      <c r="K83" s="244">
        <f>SUM(K81:K82)</f>
        <v>7.84</v>
      </c>
    </row>
    <row r="84" spans="2:11" ht="16.5" thickBot="1">
      <c r="B84" s="190" t="s">
        <v>86</v>
      </c>
      <c r="C84" s="209"/>
      <c r="D84" s="209"/>
      <c r="E84" s="208" t="s">
        <v>321</v>
      </c>
      <c r="F84" s="209"/>
      <c r="G84" s="209"/>
      <c r="H84" s="209"/>
      <c r="I84" s="209"/>
      <c r="J84" s="209"/>
      <c r="K84" s="210"/>
    </row>
    <row r="85" spans="1:12" s="298" customFormat="1" ht="15.75">
      <c r="A85" s="39"/>
      <c r="B85" s="152" t="s">
        <v>88</v>
      </c>
      <c r="C85" s="153" t="s">
        <v>20</v>
      </c>
      <c r="D85" s="153" t="s">
        <v>77</v>
      </c>
      <c r="E85" s="154" t="s">
        <v>78</v>
      </c>
      <c r="F85" s="153" t="s">
        <v>55</v>
      </c>
      <c r="G85" s="169" t="s">
        <v>295</v>
      </c>
      <c r="H85" s="155" t="s">
        <v>291</v>
      </c>
      <c r="I85" s="169" t="s">
        <v>292</v>
      </c>
      <c r="J85" s="169" t="s">
        <v>298</v>
      </c>
      <c r="K85" s="238" t="s">
        <v>290</v>
      </c>
      <c r="L85" s="297"/>
    </row>
    <row r="86" spans="2:11" ht="15">
      <c r="B86" s="217"/>
      <c r="C86" s="55"/>
      <c r="D86" s="55"/>
      <c r="E86" s="56" t="s">
        <v>322</v>
      </c>
      <c r="F86" s="55"/>
      <c r="G86" s="100">
        <v>0.3</v>
      </c>
      <c r="H86" s="100">
        <v>0.73</v>
      </c>
      <c r="I86" s="100">
        <v>1.8</v>
      </c>
      <c r="J86" s="100">
        <v>4</v>
      </c>
      <c r="K86" s="239">
        <f>G86*H86*I86*J86/2</f>
        <v>0.7884</v>
      </c>
    </row>
    <row r="87" spans="2:11" ht="15">
      <c r="B87" s="217"/>
      <c r="C87" s="55"/>
      <c r="D87" s="55"/>
      <c r="E87" s="118" t="s">
        <v>323</v>
      </c>
      <c r="F87" s="55"/>
      <c r="G87" s="99">
        <v>0.4</v>
      </c>
      <c r="H87" s="99">
        <v>0.3</v>
      </c>
      <c r="I87" s="99">
        <v>3.1</v>
      </c>
      <c r="J87" s="99">
        <v>4</v>
      </c>
      <c r="K87" s="239">
        <f>G87*H87*I87*J87</f>
        <v>1.488</v>
      </c>
    </row>
    <row r="88" spans="2:11" ht="18" customHeight="1" thickBot="1">
      <c r="B88" s="219"/>
      <c r="C88" s="159"/>
      <c r="D88" s="159"/>
      <c r="E88" s="159"/>
      <c r="F88" s="158"/>
      <c r="G88" s="158"/>
      <c r="H88" s="158"/>
      <c r="I88" s="158"/>
      <c r="J88" s="158"/>
      <c r="K88" s="240">
        <f>SUM(K86:K87)</f>
        <v>2.2763999999999998</v>
      </c>
    </row>
    <row r="89" spans="1:12" s="298" customFormat="1" ht="15.75">
      <c r="A89" s="39"/>
      <c r="B89" s="152" t="s">
        <v>89</v>
      </c>
      <c r="C89" s="153" t="s">
        <v>20</v>
      </c>
      <c r="D89" s="153" t="s">
        <v>90</v>
      </c>
      <c r="E89" s="154" t="s">
        <v>91</v>
      </c>
      <c r="F89" s="153" t="s">
        <v>55</v>
      </c>
      <c r="G89" s="169" t="s">
        <v>295</v>
      </c>
      <c r="H89" s="155" t="s">
        <v>291</v>
      </c>
      <c r="I89" s="169" t="s">
        <v>292</v>
      </c>
      <c r="J89" s="169" t="s">
        <v>298</v>
      </c>
      <c r="K89" s="282" t="s">
        <v>290</v>
      </c>
      <c r="L89" s="297"/>
    </row>
    <row r="90" spans="2:11" ht="15">
      <c r="B90" s="217"/>
      <c r="C90" s="55"/>
      <c r="D90" s="55"/>
      <c r="E90" s="56" t="s">
        <v>322</v>
      </c>
      <c r="F90" s="55"/>
      <c r="G90" s="100">
        <v>0.3</v>
      </c>
      <c r="H90" s="100">
        <v>0.73</v>
      </c>
      <c r="I90" s="100">
        <v>1.8</v>
      </c>
      <c r="J90" s="100">
        <v>4</v>
      </c>
      <c r="K90" s="239">
        <f>G90*H90*I90*J90/2</f>
        <v>0.7884</v>
      </c>
    </row>
    <row r="91" spans="2:11" ht="15">
      <c r="B91" s="217"/>
      <c r="C91" s="55"/>
      <c r="D91" s="55"/>
      <c r="E91" s="118" t="s">
        <v>323</v>
      </c>
      <c r="F91" s="55"/>
      <c r="G91" s="99">
        <v>0.4</v>
      </c>
      <c r="H91" s="99">
        <v>0.3</v>
      </c>
      <c r="I91" s="99">
        <v>3.1</v>
      </c>
      <c r="J91" s="99">
        <v>4</v>
      </c>
      <c r="K91" s="239">
        <f>G91*H91*I91*J91</f>
        <v>1.488</v>
      </c>
    </row>
    <row r="92" spans="2:11" ht="18" customHeight="1" thickBot="1">
      <c r="B92" s="219"/>
      <c r="C92" s="159"/>
      <c r="D92" s="159"/>
      <c r="E92" s="159"/>
      <c r="F92" s="158"/>
      <c r="G92" s="158"/>
      <c r="H92" s="158"/>
      <c r="I92" s="158"/>
      <c r="J92" s="158"/>
      <c r="K92" s="240">
        <f>SUM(K90:K91)</f>
        <v>2.2763999999999998</v>
      </c>
    </row>
    <row r="93" spans="1:12" s="298" customFormat="1" ht="15.75">
      <c r="A93" s="39"/>
      <c r="B93" s="152" t="s">
        <v>92</v>
      </c>
      <c r="C93" s="153" t="s">
        <v>20</v>
      </c>
      <c r="D93" s="153" t="s">
        <v>71</v>
      </c>
      <c r="E93" s="154" t="s">
        <v>72</v>
      </c>
      <c r="F93" s="153" t="s">
        <v>73</v>
      </c>
      <c r="G93" s="169" t="s">
        <v>9</v>
      </c>
      <c r="H93" s="169" t="s">
        <v>291</v>
      </c>
      <c r="I93" s="169" t="s">
        <v>310</v>
      </c>
      <c r="J93" s="169" t="s">
        <v>298</v>
      </c>
      <c r="K93" s="238" t="s">
        <v>290</v>
      </c>
      <c r="L93" s="297"/>
    </row>
    <row r="94" spans="2:12" ht="15">
      <c r="B94" s="217"/>
      <c r="C94" s="55"/>
      <c r="D94" s="55"/>
      <c r="E94" s="56" t="s">
        <v>324</v>
      </c>
      <c r="F94" s="55"/>
      <c r="G94" s="100">
        <v>2</v>
      </c>
      <c r="H94" s="100">
        <v>2.5</v>
      </c>
      <c r="I94" s="115">
        <v>0.617</v>
      </c>
      <c r="J94" s="100">
        <v>4</v>
      </c>
      <c r="K94" s="239">
        <f aca="true" t="shared" si="0" ref="K94:K99">G94*H94*I94*J94</f>
        <v>12.34</v>
      </c>
      <c r="L94" s="295">
        <f>4*1.4*6</f>
        <v>33.599999999999994</v>
      </c>
    </row>
    <row r="95" spans="2:11" ht="15">
      <c r="B95" s="217"/>
      <c r="C95" s="55"/>
      <c r="D95" s="55"/>
      <c r="E95" s="56" t="s">
        <v>325</v>
      </c>
      <c r="F95" s="55"/>
      <c r="G95" s="100">
        <v>2</v>
      </c>
      <c r="H95" s="100">
        <v>2.6</v>
      </c>
      <c r="I95" s="115">
        <v>0.617</v>
      </c>
      <c r="J95" s="100">
        <v>4</v>
      </c>
      <c r="K95" s="239">
        <f t="shared" si="0"/>
        <v>12.8336</v>
      </c>
    </row>
    <row r="96" spans="2:12" ht="15">
      <c r="B96" s="217"/>
      <c r="C96" s="55"/>
      <c r="D96" s="55"/>
      <c r="E96" s="56" t="s">
        <v>326</v>
      </c>
      <c r="F96" s="55"/>
      <c r="G96" s="99">
        <v>4</v>
      </c>
      <c r="H96" s="99">
        <v>2.7</v>
      </c>
      <c r="I96" s="99">
        <v>1.578</v>
      </c>
      <c r="J96" s="99">
        <v>4</v>
      </c>
      <c r="K96" s="239">
        <f t="shared" si="0"/>
        <v>68.1696</v>
      </c>
      <c r="L96" s="295">
        <f>L94*I94</f>
        <v>20.731199999999998</v>
      </c>
    </row>
    <row r="97" spans="2:11" ht="15">
      <c r="B97" s="217"/>
      <c r="C97" s="55"/>
      <c r="D97" s="55"/>
      <c r="E97" s="56" t="s">
        <v>327</v>
      </c>
      <c r="F97" s="55"/>
      <c r="G97" s="99">
        <v>3</v>
      </c>
      <c r="H97" s="99">
        <v>2.7</v>
      </c>
      <c r="I97" s="99">
        <v>0.963</v>
      </c>
      <c r="J97" s="99">
        <v>4</v>
      </c>
      <c r="K97" s="239">
        <f t="shared" si="0"/>
        <v>31.201200000000004</v>
      </c>
    </row>
    <row r="98" spans="2:11" ht="15">
      <c r="B98" s="217"/>
      <c r="C98" s="55"/>
      <c r="D98" s="55"/>
      <c r="E98" s="56" t="s">
        <v>328</v>
      </c>
      <c r="F98" s="55"/>
      <c r="G98" s="99">
        <v>4</v>
      </c>
      <c r="H98" s="99">
        <v>0.5</v>
      </c>
      <c r="I98" s="99">
        <v>0.395</v>
      </c>
      <c r="J98" s="99">
        <v>4</v>
      </c>
      <c r="K98" s="239">
        <f t="shared" si="0"/>
        <v>3.16</v>
      </c>
    </row>
    <row r="99" spans="2:11" ht="15">
      <c r="B99" s="217"/>
      <c r="C99" s="55"/>
      <c r="D99" s="55"/>
      <c r="E99" s="56" t="s">
        <v>329</v>
      </c>
      <c r="F99" s="55"/>
      <c r="G99" s="119">
        <f>3.1/0.15</f>
        <v>20.666666666666668</v>
      </c>
      <c r="H99" s="99">
        <f>0.24+0.24+0.34+0.34+0.06</f>
        <v>1.2200000000000002</v>
      </c>
      <c r="I99" s="99">
        <v>0.245</v>
      </c>
      <c r="J99" s="99">
        <v>4</v>
      </c>
      <c r="K99" s="239">
        <f t="shared" si="0"/>
        <v>24.709066666666672</v>
      </c>
    </row>
    <row r="100" spans="2:11" ht="18" customHeight="1" thickBot="1">
      <c r="B100" s="219"/>
      <c r="C100" s="159"/>
      <c r="D100" s="159"/>
      <c r="E100" s="159"/>
      <c r="F100" s="158"/>
      <c r="G100" s="158"/>
      <c r="H100" s="158"/>
      <c r="I100" s="158"/>
      <c r="J100" s="158"/>
      <c r="K100" s="240">
        <f>SUM(K94:K99)</f>
        <v>152.41346666666666</v>
      </c>
    </row>
    <row r="101" spans="1:12" s="298" customFormat="1" ht="15.75">
      <c r="A101" s="39"/>
      <c r="B101" s="152" t="s">
        <v>93</v>
      </c>
      <c r="C101" s="153" t="s">
        <v>20</v>
      </c>
      <c r="D101" s="153" t="s">
        <v>94</v>
      </c>
      <c r="E101" s="154" t="s">
        <v>95</v>
      </c>
      <c r="F101" s="153" t="s">
        <v>23</v>
      </c>
      <c r="G101" s="153" t="s">
        <v>295</v>
      </c>
      <c r="H101" s="155" t="s">
        <v>291</v>
      </c>
      <c r="I101" s="153" t="s">
        <v>292</v>
      </c>
      <c r="J101" s="153" t="s">
        <v>298</v>
      </c>
      <c r="K101" s="283" t="s">
        <v>290</v>
      </c>
      <c r="L101" s="297"/>
    </row>
    <row r="102" spans="2:11" ht="15">
      <c r="B102" s="217"/>
      <c r="C102" s="55"/>
      <c r="D102" s="55"/>
      <c r="E102" s="56" t="s">
        <v>323</v>
      </c>
      <c r="F102" s="55"/>
      <c r="G102" s="55">
        <v>0.3</v>
      </c>
      <c r="H102" s="55"/>
      <c r="I102" s="55">
        <f>2.7+0.4</f>
        <v>3.1</v>
      </c>
      <c r="J102" s="55">
        <v>8</v>
      </c>
      <c r="K102" s="218">
        <f>G102*I102*J102</f>
        <v>7.4399999999999995</v>
      </c>
    </row>
    <row r="103" spans="2:11" ht="15">
      <c r="B103" s="217"/>
      <c r="C103" s="55"/>
      <c r="D103" s="55"/>
      <c r="E103" s="56" t="s">
        <v>330</v>
      </c>
      <c r="F103" s="55"/>
      <c r="G103" s="55">
        <v>0.3</v>
      </c>
      <c r="H103" s="55">
        <v>1.8</v>
      </c>
      <c r="I103" s="55"/>
      <c r="J103" s="55">
        <v>4</v>
      </c>
      <c r="K103" s="218">
        <f>G103*H103*J103</f>
        <v>2.16</v>
      </c>
    </row>
    <row r="104" spans="2:11" ht="18" customHeight="1">
      <c r="B104" s="245"/>
      <c r="C104" s="56"/>
      <c r="D104" s="56"/>
      <c r="E104" s="56" t="s">
        <v>331</v>
      </c>
      <c r="F104" s="55"/>
      <c r="G104" s="55">
        <v>0.73</v>
      </c>
      <c r="H104" s="55">
        <v>1.8</v>
      </c>
      <c r="I104" s="55"/>
      <c r="J104" s="55">
        <v>4</v>
      </c>
      <c r="K104" s="218">
        <f>G104*H104*J104</f>
        <v>5.256</v>
      </c>
    </row>
    <row r="105" spans="2:11" ht="18" customHeight="1" thickBot="1">
      <c r="B105" s="219"/>
      <c r="C105" s="159"/>
      <c r="D105" s="159"/>
      <c r="E105" s="159"/>
      <c r="F105" s="158"/>
      <c r="G105" s="158"/>
      <c r="H105" s="158"/>
      <c r="I105" s="158"/>
      <c r="J105" s="158"/>
      <c r="K105" s="240">
        <f>SUM(K102:K104)</f>
        <v>14.856</v>
      </c>
    </row>
    <row r="106" spans="2:11" ht="16.5" thickBot="1">
      <c r="B106" s="190" t="s">
        <v>96</v>
      </c>
      <c r="C106" s="209"/>
      <c r="D106" s="209"/>
      <c r="E106" s="208" t="s">
        <v>97</v>
      </c>
      <c r="F106" s="209"/>
      <c r="G106" s="209"/>
      <c r="H106" s="209"/>
      <c r="I106" s="209"/>
      <c r="J106" s="209"/>
      <c r="K106" s="210"/>
    </row>
    <row r="107" spans="1:12" s="298" customFormat="1" ht="15.75">
      <c r="A107" s="39"/>
      <c r="B107" s="152" t="s">
        <v>98</v>
      </c>
      <c r="C107" s="153" t="s">
        <v>20</v>
      </c>
      <c r="D107" s="153" t="s">
        <v>77</v>
      </c>
      <c r="E107" s="154" t="s">
        <v>78</v>
      </c>
      <c r="F107" s="153" t="s">
        <v>55</v>
      </c>
      <c r="G107" s="169" t="s">
        <v>295</v>
      </c>
      <c r="H107" s="155" t="s">
        <v>291</v>
      </c>
      <c r="I107" s="169" t="s">
        <v>292</v>
      </c>
      <c r="J107" s="169" t="s">
        <v>298</v>
      </c>
      <c r="K107" s="282" t="s">
        <v>290</v>
      </c>
      <c r="L107" s="297"/>
    </row>
    <row r="108" spans="2:11" ht="15.75" thickBot="1">
      <c r="B108" s="157"/>
      <c r="C108" s="158"/>
      <c r="D108" s="158"/>
      <c r="E108" s="159"/>
      <c r="F108" s="158"/>
      <c r="G108" s="160">
        <v>0.2</v>
      </c>
      <c r="H108" s="160">
        <v>4.8</v>
      </c>
      <c r="I108" s="160">
        <v>0.3</v>
      </c>
      <c r="J108" s="160">
        <v>3</v>
      </c>
      <c r="K108" s="284">
        <f>G108*H108*I108*J108</f>
        <v>0.8639999999999999</v>
      </c>
    </row>
    <row r="109" spans="1:12" s="298" customFormat="1" ht="15.75">
      <c r="A109" s="39"/>
      <c r="B109" s="149" t="s">
        <v>99</v>
      </c>
      <c r="C109" s="149" t="s">
        <v>20</v>
      </c>
      <c r="D109" s="149" t="s">
        <v>90</v>
      </c>
      <c r="E109" s="150" t="s">
        <v>91</v>
      </c>
      <c r="F109" s="149" t="s">
        <v>55</v>
      </c>
      <c r="G109" s="167" t="s">
        <v>295</v>
      </c>
      <c r="H109" s="151" t="s">
        <v>291</v>
      </c>
      <c r="I109" s="167" t="s">
        <v>292</v>
      </c>
      <c r="J109" s="167" t="s">
        <v>298</v>
      </c>
      <c r="K109" s="281" t="s">
        <v>290</v>
      </c>
      <c r="L109" s="297"/>
    </row>
    <row r="110" spans="2:11" ht="15">
      <c r="B110" s="55"/>
      <c r="C110" s="55"/>
      <c r="D110" s="55"/>
      <c r="E110" s="56"/>
      <c r="F110" s="55"/>
      <c r="G110" s="99">
        <v>0.2</v>
      </c>
      <c r="H110" s="99">
        <v>4.8</v>
      </c>
      <c r="I110" s="99">
        <v>0.3</v>
      </c>
      <c r="J110" s="99">
        <v>3</v>
      </c>
      <c r="K110" s="99">
        <f>G110*H110*I110*J110</f>
        <v>0.8639999999999999</v>
      </c>
    </row>
    <row r="111" spans="1:12" s="298" customFormat="1" ht="15.75">
      <c r="A111" s="39"/>
      <c r="B111" s="94" t="s">
        <v>100</v>
      </c>
      <c r="C111" s="94" t="s">
        <v>20</v>
      </c>
      <c r="D111" s="94" t="s">
        <v>71</v>
      </c>
      <c r="E111" s="95" t="s">
        <v>72</v>
      </c>
      <c r="F111" s="94" t="s">
        <v>73</v>
      </c>
      <c r="G111" s="96" t="s">
        <v>9</v>
      </c>
      <c r="H111" s="96" t="s">
        <v>291</v>
      </c>
      <c r="I111" s="96" t="s">
        <v>310</v>
      </c>
      <c r="J111" s="96" t="s">
        <v>298</v>
      </c>
      <c r="K111" s="96" t="s">
        <v>290</v>
      </c>
      <c r="L111" s="297"/>
    </row>
    <row r="112" spans="2:11" ht="15">
      <c r="B112" s="55"/>
      <c r="C112" s="55"/>
      <c r="D112" s="55"/>
      <c r="E112" s="56" t="s">
        <v>332</v>
      </c>
      <c r="F112" s="55"/>
      <c r="G112" s="99">
        <v>5</v>
      </c>
      <c r="H112" s="99">
        <v>4.8</v>
      </c>
      <c r="I112" s="99">
        <v>0.617</v>
      </c>
      <c r="J112" s="99"/>
      <c r="K112" s="100">
        <f>G112*H112*I112</f>
        <v>14.808</v>
      </c>
    </row>
    <row r="113" spans="2:11" ht="15">
      <c r="B113" s="55"/>
      <c r="C113" s="55"/>
      <c r="D113" s="55"/>
      <c r="E113" s="56" t="s">
        <v>333</v>
      </c>
      <c r="F113" s="55"/>
      <c r="G113" s="99">
        <v>6</v>
      </c>
      <c r="H113" s="99">
        <v>4.8</v>
      </c>
      <c r="I113" s="99">
        <v>0.617</v>
      </c>
      <c r="J113" s="99"/>
      <c r="K113" s="100">
        <f>G113*H113*I113</f>
        <v>17.769599999999997</v>
      </c>
    </row>
    <row r="114" spans="2:11" ht="15">
      <c r="B114" s="55"/>
      <c r="C114" s="55"/>
      <c r="D114" s="55"/>
      <c r="E114" s="56" t="s">
        <v>334</v>
      </c>
      <c r="F114" s="55"/>
      <c r="G114" s="99">
        <v>6</v>
      </c>
      <c r="H114" s="99">
        <v>4.8</v>
      </c>
      <c r="I114" s="99">
        <v>0.963</v>
      </c>
      <c r="J114" s="99"/>
      <c r="K114" s="100">
        <f>G114*H114*I114</f>
        <v>27.734399999999997</v>
      </c>
    </row>
    <row r="115" spans="2:11" ht="15">
      <c r="B115" s="55"/>
      <c r="C115" s="55"/>
      <c r="D115" s="55"/>
      <c r="E115" s="56" t="s">
        <v>329</v>
      </c>
      <c r="F115" s="55"/>
      <c r="G115" s="99">
        <f>4.8*3/0.15</f>
        <v>96</v>
      </c>
      <c r="H115" s="99">
        <f>0.14+0.14+0.24+0.24+0.06</f>
        <v>0.8200000000000001</v>
      </c>
      <c r="I115" s="99">
        <v>0.245</v>
      </c>
      <c r="J115" s="99"/>
      <c r="K115" s="100">
        <f>G115*H115*I115</f>
        <v>19.2864</v>
      </c>
    </row>
    <row r="116" spans="2:11" ht="18" customHeight="1">
      <c r="B116" s="56"/>
      <c r="C116" s="56"/>
      <c r="D116" s="56"/>
      <c r="E116" s="56"/>
      <c r="F116" s="55"/>
      <c r="G116" s="55"/>
      <c r="H116" s="55"/>
      <c r="I116" s="55"/>
      <c r="J116" s="55"/>
      <c r="K116" s="106">
        <f>SUM(K112:K115)</f>
        <v>79.5984</v>
      </c>
    </row>
    <row r="117" spans="1:12" s="298" customFormat="1" ht="15.75">
      <c r="A117" s="39"/>
      <c r="B117" s="94" t="s">
        <v>101</v>
      </c>
      <c r="C117" s="94" t="s">
        <v>20</v>
      </c>
      <c r="D117" s="94" t="s">
        <v>94</v>
      </c>
      <c r="E117" s="95" t="s">
        <v>95</v>
      </c>
      <c r="F117" s="94" t="s">
        <v>23</v>
      </c>
      <c r="G117" s="96" t="s">
        <v>9</v>
      </c>
      <c r="H117" s="97" t="s">
        <v>291</v>
      </c>
      <c r="I117" s="96" t="s">
        <v>292</v>
      </c>
      <c r="J117" s="96" t="s">
        <v>298</v>
      </c>
      <c r="K117" s="102" t="s">
        <v>290</v>
      </c>
      <c r="L117" s="297"/>
    </row>
    <row r="118" spans="2:11" ht="15">
      <c r="B118" s="55"/>
      <c r="C118" s="55"/>
      <c r="D118" s="55"/>
      <c r="E118" s="56"/>
      <c r="F118" s="55"/>
      <c r="G118" s="99">
        <v>2</v>
      </c>
      <c r="H118" s="99">
        <v>4.8</v>
      </c>
      <c r="I118" s="99">
        <v>0.3</v>
      </c>
      <c r="J118" s="99">
        <v>3</v>
      </c>
      <c r="K118" s="99">
        <f>G118*H118*I118*J118</f>
        <v>8.64</v>
      </c>
    </row>
    <row r="119" spans="2:11" ht="15">
      <c r="B119" s="120"/>
      <c r="C119" s="120"/>
      <c r="D119" s="120"/>
      <c r="E119" s="107"/>
      <c r="F119" s="120"/>
      <c r="G119" s="121"/>
      <c r="H119" s="121"/>
      <c r="I119" s="121"/>
      <c r="J119" s="121"/>
      <c r="K119" s="122">
        <f>K118</f>
        <v>8.64</v>
      </c>
    </row>
    <row r="120" spans="2:11" ht="15.75">
      <c r="B120" s="91" t="s">
        <v>102</v>
      </c>
      <c r="C120" s="104"/>
      <c r="D120" s="104"/>
      <c r="E120" s="103" t="s">
        <v>103</v>
      </c>
      <c r="F120" s="104"/>
      <c r="G120" s="104"/>
      <c r="H120" s="104"/>
      <c r="I120" s="104"/>
      <c r="J120" s="104"/>
      <c r="K120" s="104"/>
    </row>
    <row r="121" spans="1:12" s="298" customFormat="1" ht="15.75">
      <c r="A121" s="39"/>
      <c r="B121" s="94" t="s">
        <v>104</v>
      </c>
      <c r="C121" s="94" t="s">
        <v>20</v>
      </c>
      <c r="D121" s="94" t="s">
        <v>105</v>
      </c>
      <c r="E121" s="95" t="s">
        <v>106</v>
      </c>
      <c r="F121" s="94" t="s">
        <v>23</v>
      </c>
      <c r="G121" s="96" t="s">
        <v>335</v>
      </c>
      <c r="H121" s="97" t="s">
        <v>291</v>
      </c>
      <c r="I121" s="96" t="s">
        <v>292</v>
      </c>
      <c r="J121" s="96" t="s">
        <v>298</v>
      </c>
      <c r="K121" s="102" t="s">
        <v>290</v>
      </c>
      <c r="L121" s="297"/>
    </row>
    <row r="122" spans="2:11" ht="15">
      <c r="B122" s="55"/>
      <c r="C122" s="55"/>
      <c r="D122" s="55"/>
      <c r="E122" s="56" t="s">
        <v>297</v>
      </c>
      <c r="F122" s="55"/>
      <c r="G122" s="99">
        <v>9</v>
      </c>
      <c r="H122" s="99">
        <f>4.8-1.2</f>
        <v>3.5999999999999996</v>
      </c>
      <c r="I122" s="99">
        <v>0.2</v>
      </c>
      <c r="J122" s="99"/>
      <c r="K122" s="99">
        <f>G122*H122*I122</f>
        <v>6.48</v>
      </c>
    </row>
    <row r="123" spans="2:11" ht="15">
      <c r="B123" s="55"/>
      <c r="C123" s="55"/>
      <c r="D123" s="55"/>
      <c r="E123" s="56" t="s">
        <v>305</v>
      </c>
      <c r="F123" s="55"/>
      <c r="G123" s="99">
        <v>2</v>
      </c>
      <c r="H123" s="99">
        <f>4.8-1.2</f>
        <v>3.5999999999999996</v>
      </c>
      <c r="I123" s="99">
        <v>0.2</v>
      </c>
      <c r="J123" s="99"/>
      <c r="K123" s="99">
        <f>G123*H123*I123</f>
        <v>1.44</v>
      </c>
    </row>
    <row r="124" spans="2:11" ht="18" customHeight="1">
      <c r="B124" s="56"/>
      <c r="C124" s="56"/>
      <c r="D124" s="56"/>
      <c r="E124" s="56"/>
      <c r="F124" s="55"/>
      <c r="G124" s="55"/>
      <c r="H124" s="55"/>
      <c r="I124" s="55"/>
      <c r="J124" s="55"/>
      <c r="K124" s="122">
        <f>SUM(K122:K123)</f>
        <v>7.92</v>
      </c>
    </row>
    <row r="125" spans="1:12" s="298" customFormat="1" ht="31.5">
      <c r="A125" s="39"/>
      <c r="B125" s="94" t="s">
        <v>107</v>
      </c>
      <c r="C125" s="94" t="s">
        <v>20</v>
      </c>
      <c r="D125" s="94" t="s">
        <v>108</v>
      </c>
      <c r="E125" s="101" t="s">
        <v>109</v>
      </c>
      <c r="F125" s="94" t="s">
        <v>55</v>
      </c>
      <c r="G125" s="96" t="s">
        <v>295</v>
      </c>
      <c r="H125" s="97" t="s">
        <v>291</v>
      </c>
      <c r="I125" s="96" t="s">
        <v>292</v>
      </c>
      <c r="J125" s="96" t="s">
        <v>298</v>
      </c>
      <c r="K125" s="102" t="s">
        <v>290</v>
      </c>
      <c r="L125" s="297"/>
    </row>
    <row r="126" spans="2:11" ht="15">
      <c r="B126" s="55"/>
      <c r="C126" s="55"/>
      <c r="D126" s="55"/>
      <c r="E126" s="107" t="s">
        <v>395</v>
      </c>
      <c r="F126" s="55"/>
      <c r="G126" s="99">
        <v>0.02</v>
      </c>
      <c r="H126" s="99">
        <v>4.8</v>
      </c>
      <c r="I126" s="100">
        <v>3.1</v>
      </c>
      <c r="J126" s="99">
        <v>1</v>
      </c>
      <c r="K126" s="100">
        <f>G126*H126*I126*J126</f>
        <v>0.29760000000000003</v>
      </c>
    </row>
    <row r="127" spans="1:11" ht="15">
      <c r="A127" s="144"/>
      <c r="B127" s="68"/>
      <c r="C127" s="68"/>
      <c r="D127" s="68"/>
      <c r="E127" s="141" t="s">
        <v>396</v>
      </c>
      <c r="F127" s="68"/>
      <c r="G127" s="142">
        <v>0.02</v>
      </c>
      <c r="H127" s="142">
        <v>4.8</v>
      </c>
      <c r="I127" s="143">
        <v>0.4</v>
      </c>
      <c r="J127" s="142"/>
      <c r="K127" s="143">
        <f>G127*H127*I127</f>
        <v>0.038400000000000004</v>
      </c>
    </row>
    <row r="128" spans="2:11" ht="15">
      <c r="B128" s="55"/>
      <c r="C128" s="55"/>
      <c r="D128" s="55"/>
      <c r="E128" s="107" t="s">
        <v>336</v>
      </c>
      <c r="F128" s="55"/>
      <c r="G128" s="99">
        <v>0.2</v>
      </c>
      <c r="H128" s="99">
        <v>4.8</v>
      </c>
      <c r="I128" s="99">
        <v>0.02</v>
      </c>
      <c r="J128" s="99"/>
      <c r="K128" s="100">
        <f>G128*H128*I128</f>
        <v>0.0192</v>
      </c>
    </row>
    <row r="129" spans="2:11" ht="18" customHeight="1">
      <c r="B129" s="56"/>
      <c r="C129" s="56"/>
      <c r="D129" s="56"/>
      <c r="E129" s="56"/>
      <c r="F129" s="55"/>
      <c r="G129" s="55"/>
      <c r="H129" s="55"/>
      <c r="I129" s="55"/>
      <c r="J129" s="55"/>
      <c r="K129" s="106">
        <f>SUM(K126:K128)</f>
        <v>0.3552</v>
      </c>
    </row>
    <row r="130" spans="1:12" s="298" customFormat="1" ht="15.75">
      <c r="A130" s="39"/>
      <c r="B130" s="123" t="s">
        <v>110</v>
      </c>
      <c r="C130" s="123" t="s">
        <v>20</v>
      </c>
      <c r="D130" s="123" t="s">
        <v>111</v>
      </c>
      <c r="E130" s="124" t="s">
        <v>112</v>
      </c>
      <c r="F130" s="123" t="s">
        <v>23</v>
      </c>
      <c r="G130" s="123" t="s">
        <v>295</v>
      </c>
      <c r="H130" s="125" t="s">
        <v>291</v>
      </c>
      <c r="I130" s="123" t="s">
        <v>292</v>
      </c>
      <c r="J130" s="123" t="s">
        <v>303</v>
      </c>
      <c r="K130" s="126" t="s">
        <v>290</v>
      </c>
      <c r="L130" s="297"/>
    </row>
    <row r="131" spans="2:11" ht="15">
      <c r="B131" s="57"/>
      <c r="C131" s="57"/>
      <c r="D131" s="57"/>
      <c r="E131" s="127" t="s">
        <v>395</v>
      </c>
      <c r="F131" s="57"/>
      <c r="G131" s="57"/>
      <c r="H131" s="57">
        <v>4.8</v>
      </c>
      <c r="I131" s="57">
        <v>3.1</v>
      </c>
      <c r="J131" s="57">
        <v>1</v>
      </c>
      <c r="K131" s="128">
        <f>H131*I131*J131</f>
        <v>14.879999999999999</v>
      </c>
    </row>
    <row r="132" spans="2:11" ht="15">
      <c r="B132" s="57"/>
      <c r="C132" s="57"/>
      <c r="D132" s="57"/>
      <c r="E132" s="141" t="s">
        <v>396</v>
      </c>
      <c r="F132" s="68"/>
      <c r="G132" s="142"/>
      <c r="H132" s="142">
        <v>4.8</v>
      </c>
      <c r="I132" s="143">
        <v>0.4</v>
      </c>
      <c r="J132" s="142"/>
      <c r="K132" s="143">
        <f>H132*I132</f>
        <v>1.92</v>
      </c>
    </row>
    <row r="133" spans="2:11" ht="15">
      <c r="B133" s="57"/>
      <c r="C133" s="57"/>
      <c r="D133" s="57"/>
      <c r="E133" s="127" t="s">
        <v>336</v>
      </c>
      <c r="F133" s="57"/>
      <c r="G133" s="57">
        <v>0.2</v>
      </c>
      <c r="H133" s="57">
        <v>4.8</v>
      </c>
      <c r="I133" s="57"/>
      <c r="J133" s="57"/>
      <c r="K133" s="128">
        <f>G133*H133</f>
        <v>0.96</v>
      </c>
    </row>
    <row r="134" spans="2:11" ht="18" customHeight="1">
      <c r="B134" s="129"/>
      <c r="C134" s="129"/>
      <c r="D134" s="129"/>
      <c r="E134" s="129"/>
      <c r="F134" s="57"/>
      <c r="G134" s="57"/>
      <c r="H134" s="57"/>
      <c r="I134" s="57"/>
      <c r="J134" s="57"/>
      <c r="K134" s="130">
        <f>SUM(K131:K133)</f>
        <v>17.759999999999998</v>
      </c>
    </row>
    <row r="135" spans="1:12" s="298" customFormat="1" ht="15.75">
      <c r="A135" s="39"/>
      <c r="B135" s="123" t="s">
        <v>113</v>
      </c>
      <c r="C135" s="123" t="s">
        <v>20</v>
      </c>
      <c r="D135" s="123" t="s">
        <v>71</v>
      </c>
      <c r="E135" s="124" t="s">
        <v>72</v>
      </c>
      <c r="F135" s="123" t="s">
        <v>73</v>
      </c>
      <c r="G135" s="123" t="s">
        <v>9</v>
      </c>
      <c r="H135" s="123" t="s">
        <v>291</v>
      </c>
      <c r="I135" s="123" t="s">
        <v>310</v>
      </c>
      <c r="J135" s="123"/>
      <c r="K135" s="123" t="s">
        <v>290</v>
      </c>
      <c r="L135" s="297"/>
    </row>
    <row r="136" spans="2:11" ht="15">
      <c r="B136" s="57"/>
      <c r="C136" s="57"/>
      <c r="D136" s="57"/>
      <c r="E136" s="129" t="s">
        <v>397</v>
      </c>
      <c r="F136" s="57"/>
      <c r="G136" s="57">
        <v>2</v>
      </c>
      <c r="H136" s="57">
        <v>4.8</v>
      </c>
      <c r="I136" s="57">
        <v>0.245</v>
      </c>
      <c r="J136" s="57"/>
      <c r="K136" s="128">
        <f>G136*H136*I136</f>
        <v>2.352</v>
      </c>
    </row>
    <row r="137" spans="2:11" ht="15">
      <c r="B137" s="57"/>
      <c r="C137" s="57"/>
      <c r="D137" s="57"/>
      <c r="E137" s="129" t="s">
        <v>398</v>
      </c>
      <c r="F137" s="57"/>
      <c r="G137" s="57">
        <v>2</v>
      </c>
      <c r="H137" s="57">
        <v>4.8</v>
      </c>
      <c r="I137" s="57">
        <v>0.395</v>
      </c>
      <c r="J137" s="57"/>
      <c r="K137" s="128">
        <f>G137*H137*I137</f>
        <v>3.792</v>
      </c>
    </row>
    <row r="138" spans="2:11" ht="15">
      <c r="B138" s="57"/>
      <c r="C138" s="57"/>
      <c r="D138" s="57"/>
      <c r="E138" s="129" t="s">
        <v>399</v>
      </c>
      <c r="F138" s="57"/>
      <c r="G138" s="57">
        <v>2</v>
      </c>
      <c r="H138" s="57">
        <v>4.8</v>
      </c>
      <c r="I138" s="57">
        <v>0.395</v>
      </c>
      <c r="J138" s="57"/>
      <c r="K138" s="128">
        <f>G138*H138*I138</f>
        <v>3.792</v>
      </c>
    </row>
    <row r="139" spans="2:11" ht="18" customHeight="1">
      <c r="B139" s="129"/>
      <c r="C139" s="129"/>
      <c r="D139" s="129"/>
      <c r="E139" s="129"/>
      <c r="F139" s="57"/>
      <c r="G139" s="57"/>
      <c r="H139" s="57"/>
      <c r="I139" s="57"/>
      <c r="J139" s="57"/>
      <c r="K139" s="130">
        <f>SUM(K136:K138)</f>
        <v>9.936</v>
      </c>
    </row>
    <row r="140" spans="1:12" s="298" customFormat="1" ht="31.5">
      <c r="A140" s="39"/>
      <c r="B140" s="123" t="s">
        <v>114</v>
      </c>
      <c r="C140" s="123" t="s">
        <v>20</v>
      </c>
      <c r="D140" s="123" t="s">
        <v>115</v>
      </c>
      <c r="E140" s="131" t="s">
        <v>116</v>
      </c>
      <c r="F140" s="123" t="s">
        <v>23</v>
      </c>
      <c r="G140" s="123"/>
      <c r="H140" s="125" t="s">
        <v>291</v>
      </c>
      <c r="I140" s="123" t="s">
        <v>292</v>
      </c>
      <c r="J140" s="123"/>
      <c r="K140" s="126" t="s">
        <v>290</v>
      </c>
      <c r="L140" s="297"/>
    </row>
    <row r="141" spans="2:11" ht="15">
      <c r="B141" s="57"/>
      <c r="C141" s="57"/>
      <c r="D141" s="57"/>
      <c r="E141" s="127"/>
      <c r="F141" s="57"/>
      <c r="G141" s="57"/>
      <c r="H141" s="57">
        <v>4.8</v>
      </c>
      <c r="I141" s="57">
        <v>1.1</v>
      </c>
      <c r="J141" s="57"/>
      <c r="K141" s="57">
        <f>H141*I141</f>
        <v>5.28</v>
      </c>
    </row>
    <row r="142" spans="1:12" s="298" customFormat="1" ht="15.75">
      <c r="A142" s="39"/>
      <c r="B142" s="123" t="s">
        <v>117</v>
      </c>
      <c r="C142" s="123" t="s">
        <v>20</v>
      </c>
      <c r="D142" s="123" t="s">
        <v>118</v>
      </c>
      <c r="E142" s="124" t="s">
        <v>119</v>
      </c>
      <c r="F142" s="123" t="s">
        <v>23</v>
      </c>
      <c r="G142" s="123"/>
      <c r="H142" s="125" t="s">
        <v>291</v>
      </c>
      <c r="I142" s="123" t="s">
        <v>292</v>
      </c>
      <c r="J142" s="123" t="s">
        <v>298</v>
      </c>
      <c r="K142" s="126" t="s">
        <v>290</v>
      </c>
      <c r="L142" s="297"/>
    </row>
    <row r="143" spans="2:11" ht="15">
      <c r="B143" s="57"/>
      <c r="C143" s="57"/>
      <c r="D143" s="57"/>
      <c r="E143" s="127" t="s">
        <v>395</v>
      </c>
      <c r="F143" s="57"/>
      <c r="G143" s="57"/>
      <c r="H143" s="57">
        <v>4.8</v>
      </c>
      <c r="I143" s="57">
        <v>3.1</v>
      </c>
      <c r="J143" s="57">
        <v>1</v>
      </c>
      <c r="K143" s="128">
        <f>H143*I143*J143</f>
        <v>14.879999999999999</v>
      </c>
    </row>
    <row r="144" spans="2:11" ht="15">
      <c r="B144" s="57"/>
      <c r="C144" s="57"/>
      <c r="D144" s="57"/>
      <c r="E144" s="141" t="s">
        <v>396</v>
      </c>
      <c r="F144" s="68"/>
      <c r="G144" s="142"/>
      <c r="H144" s="142">
        <v>4.8</v>
      </c>
      <c r="I144" s="143">
        <v>0.4</v>
      </c>
      <c r="J144" s="142"/>
      <c r="K144" s="143">
        <f>H144*I144</f>
        <v>1.92</v>
      </c>
    </row>
    <row r="145" spans="2:11" ht="15">
      <c r="B145" s="57"/>
      <c r="C145" s="57"/>
      <c r="D145" s="57"/>
      <c r="E145" s="127" t="s">
        <v>336</v>
      </c>
      <c r="F145" s="57"/>
      <c r="G145" s="57">
        <v>0.2</v>
      </c>
      <c r="H145" s="57">
        <v>4.8</v>
      </c>
      <c r="I145" s="57"/>
      <c r="J145" s="57"/>
      <c r="K145" s="128">
        <f>G145*H145</f>
        <v>0.96</v>
      </c>
    </row>
    <row r="146" spans="2:11" ht="18" customHeight="1">
      <c r="B146" s="129"/>
      <c r="C146" s="129"/>
      <c r="D146" s="129"/>
      <c r="E146" s="129"/>
      <c r="F146" s="57"/>
      <c r="G146" s="57"/>
      <c r="H146" s="57"/>
      <c r="I146" s="57"/>
      <c r="J146" s="57"/>
      <c r="K146" s="130">
        <f>SUM(K143:K145)</f>
        <v>17.759999999999998</v>
      </c>
    </row>
    <row r="147" spans="2:11" ht="15.75">
      <c r="B147" s="92" t="s">
        <v>120</v>
      </c>
      <c r="C147" s="132"/>
      <c r="D147" s="132"/>
      <c r="E147" s="93" t="s">
        <v>121</v>
      </c>
      <c r="F147" s="132"/>
      <c r="G147" s="132"/>
      <c r="H147" s="132"/>
      <c r="I147" s="132"/>
      <c r="J147" s="132"/>
      <c r="K147" s="132"/>
    </row>
    <row r="148" spans="1:12" s="298" customFormat="1" ht="15.75">
      <c r="A148" s="39"/>
      <c r="B148" s="55" t="s">
        <v>76</v>
      </c>
      <c r="C148" s="94" t="s">
        <v>20</v>
      </c>
      <c r="D148" s="94" t="s">
        <v>77</v>
      </c>
      <c r="E148" s="95" t="s">
        <v>78</v>
      </c>
      <c r="F148" s="123" t="s">
        <v>55</v>
      </c>
      <c r="G148" s="125" t="s">
        <v>295</v>
      </c>
      <c r="H148" s="125" t="s">
        <v>291</v>
      </c>
      <c r="I148" s="123" t="s">
        <v>292</v>
      </c>
      <c r="J148" s="123" t="s">
        <v>298</v>
      </c>
      <c r="K148" s="123" t="s">
        <v>290</v>
      </c>
      <c r="L148" s="299"/>
    </row>
    <row r="149" spans="2:11" ht="15">
      <c r="B149" s="57"/>
      <c r="C149" s="57"/>
      <c r="D149" s="57"/>
      <c r="E149" s="127" t="s">
        <v>340</v>
      </c>
      <c r="F149" s="57"/>
      <c r="G149" s="128">
        <v>0.2</v>
      </c>
      <c r="H149" s="128">
        <v>4.8</v>
      </c>
      <c r="I149" s="128">
        <v>2.7</v>
      </c>
      <c r="J149" s="128"/>
      <c r="K149" s="130">
        <f>G149*H149*I149</f>
        <v>2.592</v>
      </c>
    </row>
    <row r="150" spans="1:12" s="298" customFormat="1" ht="15.75">
      <c r="A150" s="39"/>
      <c r="B150" s="55" t="s">
        <v>79</v>
      </c>
      <c r="C150" s="94" t="s">
        <v>20</v>
      </c>
      <c r="D150" s="94" t="s">
        <v>80</v>
      </c>
      <c r="E150" s="95" t="s">
        <v>81</v>
      </c>
      <c r="F150" s="123" t="s">
        <v>55</v>
      </c>
      <c r="G150" s="125" t="s">
        <v>295</v>
      </c>
      <c r="H150" s="125" t="s">
        <v>291</v>
      </c>
      <c r="I150" s="123" t="s">
        <v>292</v>
      </c>
      <c r="J150" s="123" t="s">
        <v>298</v>
      </c>
      <c r="K150" s="123" t="s">
        <v>290</v>
      </c>
      <c r="L150" s="297"/>
    </row>
    <row r="151" spans="2:11" ht="18" customHeight="1">
      <c r="B151" s="129"/>
      <c r="C151" s="129"/>
      <c r="D151" s="129"/>
      <c r="E151" s="127" t="s">
        <v>341</v>
      </c>
      <c r="F151" s="57"/>
      <c r="G151" s="128">
        <v>0.2</v>
      </c>
      <c r="H151" s="128">
        <v>4.8</v>
      </c>
      <c r="I151" s="128">
        <v>2.7</v>
      </c>
      <c r="J151" s="128"/>
      <c r="K151" s="130">
        <f>G151*H151*I151</f>
        <v>2.592</v>
      </c>
    </row>
    <row r="152" spans="2:11" ht="15">
      <c r="B152" s="118"/>
      <c r="C152" s="118"/>
      <c r="D152" s="118"/>
      <c r="E152" s="118"/>
      <c r="F152" s="99"/>
      <c r="G152" s="99"/>
      <c r="H152" s="99"/>
      <c r="I152" s="99"/>
      <c r="J152" s="99"/>
      <c r="K152" s="99"/>
    </row>
    <row r="153" spans="2:11" ht="15" customHeight="1">
      <c r="B153" s="315" t="s">
        <v>342</v>
      </c>
      <c r="C153" s="315"/>
      <c r="D153" s="315"/>
      <c r="E153" s="315"/>
      <c r="F153" s="315"/>
      <c r="G153" s="315"/>
      <c r="H153" s="315"/>
      <c r="I153" s="315"/>
      <c r="J153" s="315"/>
      <c r="K153" s="315"/>
    </row>
    <row r="154" spans="2:11" ht="15" customHeight="1">
      <c r="B154" s="315"/>
      <c r="C154" s="315"/>
      <c r="D154" s="315"/>
      <c r="E154" s="315"/>
      <c r="F154" s="315"/>
      <c r="G154" s="315"/>
      <c r="H154" s="315"/>
      <c r="I154" s="315"/>
      <c r="J154" s="315"/>
      <c r="K154" s="315"/>
    </row>
    <row r="155" spans="2:11" ht="15">
      <c r="B155" s="118"/>
      <c r="C155" s="118"/>
      <c r="D155" s="118"/>
      <c r="E155" s="118"/>
      <c r="F155" s="99"/>
      <c r="G155" s="99"/>
      <c r="H155" s="99"/>
      <c r="I155" s="99"/>
      <c r="J155" s="99"/>
      <c r="K155" s="99"/>
    </row>
    <row r="156" spans="2:11" ht="15.75">
      <c r="B156" s="91">
        <v>3</v>
      </c>
      <c r="C156" s="91"/>
      <c r="D156" s="91"/>
      <c r="E156" s="103" t="s">
        <v>124</v>
      </c>
      <c r="F156" s="104"/>
      <c r="G156" s="104"/>
      <c r="H156" s="104"/>
      <c r="I156" s="104"/>
      <c r="J156" s="104"/>
      <c r="K156" s="104"/>
    </row>
    <row r="157" spans="2:11" ht="15.75">
      <c r="B157" s="94" t="s">
        <v>46</v>
      </c>
      <c r="C157" s="94"/>
      <c r="D157" s="94"/>
      <c r="E157" s="95" t="s">
        <v>47</v>
      </c>
      <c r="F157" s="55"/>
      <c r="G157" s="55"/>
      <c r="H157" s="55"/>
      <c r="I157" s="55"/>
      <c r="J157" s="55"/>
      <c r="K157" s="55"/>
    </row>
    <row r="158" spans="1:12" s="298" customFormat="1" ht="15.75">
      <c r="A158" s="39"/>
      <c r="B158" s="94" t="s">
        <v>48</v>
      </c>
      <c r="C158" s="94" t="s">
        <v>20</v>
      </c>
      <c r="D158" s="94" t="s">
        <v>49</v>
      </c>
      <c r="E158" s="95" t="s">
        <v>50</v>
      </c>
      <c r="F158" s="94" t="s">
        <v>51</v>
      </c>
      <c r="G158" s="94"/>
      <c r="H158" s="97" t="s">
        <v>291</v>
      </c>
      <c r="I158" s="94"/>
      <c r="J158" s="94"/>
      <c r="K158" s="97" t="s">
        <v>290</v>
      </c>
      <c r="L158" s="297"/>
    </row>
    <row r="159" spans="2:11" ht="15">
      <c r="B159" s="55"/>
      <c r="C159" s="55"/>
      <c r="D159" s="55"/>
      <c r="E159" s="56"/>
      <c r="F159" s="55"/>
      <c r="G159" s="55"/>
      <c r="H159" s="105">
        <v>4.48</v>
      </c>
      <c r="I159" s="55"/>
      <c r="J159" s="55"/>
      <c r="K159" s="105">
        <f>H159</f>
        <v>4.48</v>
      </c>
    </row>
    <row r="160" spans="1:12" s="298" customFormat="1" ht="15.75">
      <c r="A160" s="39"/>
      <c r="B160" s="94" t="s">
        <v>52</v>
      </c>
      <c r="C160" s="94" t="s">
        <v>20</v>
      </c>
      <c r="D160" s="94" t="s">
        <v>53</v>
      </c>
      <c r="E160" s="95" t="s">
        <v>54</v>
      </c>
      <c r="F160" s="94" t="s">
        <v>55</v>
      </c>
      <c r="G160" s="97" t="s">
        <v>295</v>
      </c>
      <c r="H160" s="97" t="s">
        <v>291</v>
      </c>
      <c r="I160" s="94" t="s">
        <v>292</v>
      </c>
      <c r="J160" s="94"/>
      <c r="K160" s="97" t="s">
        <v>290</v>
      </c>
      <c r="L160" s="297"/>
    </row>
    <row r="161" spans="2:11" ht="15">
      <c r="B161" s="55"/>
      <c r="C161" s="55"/>
      <c r="D161" s="55"/>
      <c r="E161" s="56" t="s">
        <v>296</v>
      </c>
      <c r="F161" s="105"/>
      <c r="G161" s="105">
        <v>1.3</v>
      </c>
      <c r="H161" s="105">
        <v>4.48</v>
      </c>
      <c r="I161" s="105">
        <v>0.06</v>
      </c>
      <c r="J161" s="105"/>
      <c r="K161" s="105">
        <f>G161*H161*I161</f>
        <v>0.34944000000000003</v>
      </c>
    </row>
    <row r="162" spans="2:11" ht="15">
      <c r="B162" s="55"/>
      <c r="C162" s="55"/>
      <c r="D162" s="55"/>
      <c r="E162" s="56" t="s">
        <v>297</v>
      </c>
      <c r="F162" s="55"/>
      <c r="G162" s="105">
        <v>0.2</v>
      </c>
      <c r="H162" s="105">
        <v>4.48</v>
      </c>
      <c r="I162" s="105">
        <v>0.46</v>
      </c>
      <c r="J162" s="105"/>
      <c r="K162" s="105">
        <f>G162*H162*I162</f>
        <v>0.4121600000000001</v>
      </c>
    </row>
    <row r="163" spans="2:11" ht="15">
      <c r="B163" s="56"/>
      <c r="C163" s="56"/>
      <c r="D163" s="56"/>
      <c r="E163" s="56"/>
      <c r="F163" s="55"/>
      <c r="G163" s="55"/>
      <c r="H163" s="55"/>
      <c r="I163" s="55"/>
      <c r="J163" s="55"/>
      <c r="K163" s="106">
        <f>SUM(K161:K162)</f>
        <v>0.7616</v>
      </c>
    </row>
    <row r="164" spans="1:12" s="298" customFormat="1" ht="31.5">
      <c r="A164" s="39"/>
      <c r="B164" s="94" t="s">
        <v>56</v>
      </c>
      <c r="C164" s="94" t="s">
        <v>20</v>
      </c>
      <c r="D164" s="94" t="s">
        <v>57</v>
      </c>
      <c r="E164" s="101" t="s">
        <v>58</v>
      </c>
      <c r="F164" s="94" t="s">
        <v>55</v>
      </c>
      <c r="G164" s="97" t="s">
        <v>295</v>
      </c>
      <c r="H164" s="97" t="s">
        <v>291</v>
      </c>
      <c r="I164" s="94" t="s">
        <v>292</v>
      </c>
      <c r="J164" s="94" t="s">
        <v>298</v>
      </c>
      <c r="K164" s="97" t="s">
        <v>290</v>
      </c>
      <c r="L164" s="297"/>
    </row>
    <row r="165" spans="2:11" ht="15">
      <c r="B165" s="55"/>
      <c r="C165" s="55"/>
      <c r="D165" s="55"/>
      <c r="E165" s="107" t="s">
        <v>343</v>
      </c>
      <c r="F165" s="55"/>
      <c r="G165" s="55">
        <v>1.3</v>
      </c>
      <c r="H165" s="55">
        <v>0.7</v>
      </c>
      <c r="I165" s="55">
        <v>0.53</v>
      </c>
      <c r="J165" s="55">
        <v>3</v>
      </c>
      <c r="K165" s="105">
        <f>G165*H165*I165*J165</f>
        <v>1.4469</v>
      </c>
    </row>
    <row r="166" spans="2:11" ht="15">
      <c r="B166" s="55"/>
      <c r="C166" s="55"/>
      <c r="D166" s="55"/>
      <c r="E166" s="107" t="s">
        <v>301</v>
      </c>
      <c r="F166" s="55"/>
      <c r="G166" s="55">
        <v>0.4</v>
      </c>
      <c r="H166" s="133">
        <v>1.8</v>
      </c>
      <c r="I166" s="55">
        <v>0.33</v>
      </c>
      <c r="J166" s="55"/>
      <c r="K166" s="105">
        <f>G166*H166*I166</f>
        <v>0.23760000000000003</v>
      </c>
    </row>
    <row r="167" spans="2:11" ht="15">
      <c r="B167" s="55"/>
      <c r="C167" s="55"/>
      <c r="D167" s="55"/>
      <c r="E167" s="107"/>
      <c r="F167" s="55"/>
      <c r="G167" s="99"/>
      <c r="H167" s="55"/>
      <c r="I167" s="55"/>
      <c r="J167" s="55"/>
      <c r="K167" s="106">
        <f>SUM(K165:K166)</f>
        <v>1.6845</v>
      </c>
    </row>
    <row r="168" spans="1:12" s="298" customFormat="1" ht="15.75">
      <c r="A168" s="39"/>
      <c r="B168" s="94" t="s">
        <v>62</v>
      </c>
      <c r="C168" s="94" t="s">
        <v>20</v>
      </c>
      <c r="D168" s="94" t="s">
        <v>60</v>
      </c>
      <c r="E168" s="95" t="s">
        <v>61</v>
      </c>
      <c r="F168" s="94" t="s">
        <v>55</v>
      </c>
      <c r="G168" s="97" t="s">
        <v>295</v>
      </c>
      <c r="H168" s="97" t="s">
        <v>291</v>
      </c>
      <c r="I168" s="94" t="s">
        <v>292</v>
      </c>
      <c r="J168" s="94" t="s">
        <v>298</v>
      </c>
      <c r="K168" s="94" t="s">
        <v>290</v>
      </c>
      <c r="L168" s="297"/>
    </row>
    <row r="169" spans="2:11" ht="15">
      <c r="B169" s="55"/>
      <c r="C169" s="55"/>
      <c r="D169" s="55"/>
      <c r="E169" s="107" t="s">
        <v>344</v>
      </c>
      <c r="F169" s="55"/>
      <c r="G169" s="100">
        <v>1.2</v>
      </c>
      <c r="H169" s="105">
        <v>0.6</v>
      </c>
      <c r="I169" s="105">
        <v>0.03</v>
      </c>
      <c r="J169" s="105"/>
      <c r="K169" s="105">
        <f>G169*H169*I169</f>
        <v>0.021599999999999998</v>
      </c>
    </row>
    <row r="170" spans="2:11" ht="15">
      <c r="B170" s="55"/>
      <c r="C170" s="55"/>
      <c r="D170" s="55"/>
      <c r="E170" s="107" t="s">
        <v>301</v>
      </c>
      <c r="F170" s="55"/>
      <c r="G170" s="100">
        <v>0.3</v>
      </c>
      <c r="H170" s="105">
        <v>1.8</v>
      </c>
      <c r="I170" s="105">
        <v>0.03</v>
      </c>
      <c r="J170" s="105"/>
      <c r="K170" s="105">
        <f>G170*H170*I170</f>
        <v>0.0162</v>
      </c>
    </row>
    <row r="171" spans="2:11" ht="18" customHeight="1">
      <c r="B171" s="56"/>
      <c r="C171" s="56"/>
      <c r="D171" s="56"/>
      <c r="E171" s="56"/>
      <c r="F171" s="55"/>
      <c r="G171" s="55"/>
      <c r="H171" s="55"/>
      <c r="I171" s="55"/>
      <c r="J171" s="55"/>
      <c r="K171" s="106">
        <f>SUM(K169:K170)</f>
        <v>0.0378</v>
      </c>
    </row>
    <row r="172" spans="1:12" s="298" customFormat="1" ht="47.25">
      <c r="A172" s="39"/>
      <c r="B172" s="108" t="s">
        <v>302</v>
      </c>
      <c r="C172" s="108" t="s">
        <v>20</v>
      </c>
      <c r="D172" s="108" t="s">
        <v>63</v>
      </c>
      <c r="E172" s="109" t="s">
        <v>64</v>
      </c>
      <c r="F172" s="108" t="s">
        <v>55</v>
      </c>
      <c r="G172" s="110" t="s">
        <v>295</v>
      </c>
      <c r="H172" s="110" t="s">
        <v>291</v>
      </c>
      <c r="I172" s="108" t="s">
        <v>292</v>
      </c>
      <c r="J172" s="108" t="s">
        <v>303</v>
      </c>
      <c r="K172" s="108" t="s">
        <v>290</v>
      </c>
      <c r="L172" s="297"/>
    </row>
    <row r="173" spans="2:11" ht="15">
      <c r="B173" s="111"/>
      <c r="C173" s="111"/>
      <c r="D173" s="111"/>
      <c r="E173" s="112" t="s">
        <v>304</v>
      </c>
      <c r="F173" s="111"/>
      <c r="G173" s="113">
        <v>1.9</v>
      </c>
      <c r="H173" s="113">
        <v>4.48</v>
      </c>
      <c r="I173" s="113">
        <v>0.06</v>
      </c>
      <c r="J173" s="111"/>
      <c r="K173" s="113">
        <f>G173*H173*I173</f>
        <v>0.5107200000000001</v>
      </c>
    </row>
    <row r="174" spans="2:11" ht="15">
      <c r="B174" s="111"/>
      <c r="C174" s="111"/>
      <c r="D174" s="111"/>
      <c r="E174" s="112" t="s">
        <v>305</v>
      </c>
      <c r="F174" s="111"/>
      <c r="G174" s="113">
        <v>0.2</v>
      </c>
      <c r="H174" s="113">
        <v>4.48</v>
      </c>
      <c r="I174" s="113">
        <v>0.46</v>
      </c>
      <c r="J174" s="111"/>
      <c r="K174" s="113">
        <f>G174*H174*I174</f>
        <v>0.4121600000000001</v>
      </c>
    </row>
    <row r="175" spans="2:11" ht="15">
      <c r="B175" s="57"/>
      <c r="C175" s="57"/>
      <c r="D175" s="57"/>
      <c r="E175" s="127" t="s">
        <v>345</v>
      </c>
      <c r="F175" s="57"/>
      <c r="G175" s="128">
        <v>1.3</v>
      </c>
      <c r="H175" s="128">
        <v>0.7</v>
      </c>
      <c r="I175" s="128">
        <v>0.53</v>
      </c>
      <c r="J175" s="57">
        <v>3</v>
      </c>
      <c r="K175" s="128">
        <f>G175*H175*I175*J175</f>
        <v>1.4469</v>
      </c>
    </row>
    <row r="176" spans="2:11" ht="15">
      <c r="B176" s="57"/>
      <c r="C176" s="57"/>
      <c r="D176" s="57"/>
      <c r="E176" s="127" t="s">
        <v>308</v>
      </c>
      <c r="F176" s="57"/>
      <c r="G176" s="57">
        <v>0.4</v>
      </c>
      <c r="H176" s="57">
        <v>1.8</v>
      </c>
      <c r="I176" s="57">
        <v>0.33</v>
      </c>
      <c r="J176" s="57"/>
      <c r="K176" s="128">
        <f>G176*H176*I176</f>
        <v>0.23760000000000003</v>
      </c>
    </row>
    <row r="177" spans="2:11" ht="15">
      <c r="B177" s="57"/>
      <c r="C177" s="57"/>
      <c r="D177" s="57"/>
      <c r="E177" s="127" t="s">
        <v>309</v>
      </c>
      <c r="F177" s="57"/>
      <c r="G177" s="128">
        <f>3.14*0.125^2</f>
        <v>0.0490625</v>
      </c>
      <c r="H177" s="57">
        <v>3.5</v>
      </c>
      <c r="I177" s="57"/>
      <c r="J177" s="57">
        <v>6</v>
      </c>
      <c r="K177" s="128">
        <f>G177*H177*J177</f>
        <v>1.0303125</v>
      </c>
    </row>
    <row r="178" spans="2:11" ht="18.75" customHeight="1">
      <c r="B178" s="56"/>
      <c r="C178" s="56"/>
      <c r="D178" s="56"/>
      <c r="E178" s="56"/>
      <c r="F178" s="55"/>
      <c r="G178" s="55"/>
      <c r="H178" s="55"/>
      <c r="I178" s="55"/>
      <c r="J178" s="55"/>
      <c r="K178" s="106">
        <f>SUM(K173:K177)</f>
        <v>3.6376925000000004</v>
      </c>
    </row>
    <row r="179" spans="2:11" ht="15.75">
      <c r="B179" s="91" t="s">
        <v>65</v>
      </c>
      <c r="C179" s="91"/>
      <c r="D179" s="104"/>
      <c r="E179" s="103" t="s">
        <v>66</v>
      </c>
      <c r="F179" s="104"/>
      <c r="G179" s="104"/>
      <c r="H179" s="104"/>
      <c r="I179" s="104"/>
      <c r="J179" s="104"/>
      <c r="K179" s="104"/>
    </row>
    <row r="180" spans="1:12" s="298" customFormat="1" ht="15.75">
      <c r="A180" s="39"/>
      <c r="B180" s="94" t="s">
        <v>67</v>
      </c>
      <c r="C180" s="94" t="s">
        <v>20</v>
      </c>
      <c r="D180" s="114" t="s">
        <v>68</v>
      </c>
      <c r="E180" s="95" t="s">
        <v>69</v>
      </c>
      <c r="F180" s="94" t="s">
        <v>51</v>
      </c>
      <c r="G180" s="96" t="s">
        <v>9</v>
      </c>
      <c r="H180" s="97" t="s">
        <v>291</v>
      </c>
      <c r="I180" s="96"/>
      <c r="J180" s="96"/>
      <c r="K180" s="96" t="s">
        <v>290</v>
      </c>
      <c r="L180" s="297"/>
    </row>
    <row r="181" spans="2:11" ht="15">
      <c r="B181" s="55"/>
      <c r="C181" s="55"/>
      <c r="D181" s="105"/>
      <c r="E181" s="56"/>
      <c r="F181" s="55"/>
      <c r="G181" s="100">
        <v>6</v>
      </c>
      <c r="H181" s="98">
        <v>3.5</v>
      </c>
      <c r="I181" s="100"/>
      <c r="J181" s="100"/>
      <c r="K181" s="100">
        <f>G181*H181</f>
        <v>21</v>
      </c>
    </row>
    <row r="182" spans="1:12" s="298" customFormat="1" ht="15.75">
      <c r="A182" s="39"/>
      <c r="B182" s="94" t="s">
        <v>70</v>
      </c>
      <c r="C182" s="94" t="s">
        <v>20</v>
      </c>
      <c r="D182" s="94" t="s">
        <v>71</v>
      </c>
      <c r="E182" s="95" t="s">
        <v>72</v>
      </c>
      <c r="F182" s="94" t="s">
        <v>73</v>
      </c>
      <c r="G182" s="96" t="s">
        <v>9</v>
      </c>
      <c r="H182" s="96" t="s">
        <v>291</v>
      </c>
      <c r="I182" s="96" t="s">
        <v>310</v>
      </c>
      <c r="J182" s="96" t="s">
        <v>298</v>
      </c>
      <c r="K182" s="96" t="s">
        <v>290</v>
      </c>
      <c r="L182" s="297"/>
    </row>
    <row r="183" spans="2:11" ht="15">
      <c r="B183" s="55"/>
      <c r="C183" s="55"/>
      <c r="D183" s="55"/>
      <c r="E183" s="56" t="s">
        <v>311</v>
      </c>
      <c r="F183" s="55"/>
      <c r="G183" s="100">
        <v>4</v>
      </c>
      <c r="H183" s="100">
        <v>3.7</v>
      </c>
      <c r="I183" s="115">
        <v>0.963</v>
      </c>
      <c r="J183" s="100">
        <v>3</v>
      </c>
      <c r="K183" s="100">
        <f>G183*H183*I183*J183</f>
        <v>42.7572</v>
      </c>
    </row>
    <row r="184" spans="2:11" ht="15">
      <c r="B184" s="55"/>
      <c r="C184" s="55"/>
      <c r="D184" s="55"/>
      <c r="E184" s="56" t="s">
        <v>312</v>
      </c>
      <c r="F184" s="55"/>
      <c r="G184" s="100">
        <v>4</v>
      </c>
      <c r="H184" s="100">
        <v>3.7</v>
      </c>
      <c r="I184" s="115">
        <v>0.617</v>
      </c>
      <c r="J184" s="100">
        <v>3</v>
      </c>
      <c r="K184" s="100">
        <f>G184*H184*I184*J184</f>
        <v>27.394800000000004</v>
      </c>
    </row>
    <row r="185" spans="2:11" ht="15">
      <c r="B185" s="55"/>
      <c r="C185" s="55"/>
      <c r="D185" s="55"/>
      <c r="E185" s="56" t="s">
        <v>313</v>
      </c>
      <c r="F185" s="55"/>
      <c r="G185" s="119">
        <f>3.7/0.15</f>
        <v>24.666666666666668</v>
      </c>
      <c r="H185" s="100">
        <v>0.66</v>
      </c>
      <c r="I185" s="115">
        <v>0.245</v>
      </c>
      <c r="J185" s="100">
        <v>6</v>
      </c>
      <c r="K185" s="100">
        <f>G185*H185*I185*J185</f>
        <v>23.931600000000003</v>
      </c>
    </row>
    <row r="186" spans="2:11" ht="18" customHeight="1">
      <c r="B186" s="56"/>
      <c r="C186" s="56"/>
      <c r="D186" s="56"/>
      <c r="E186" s="56"/>
      <c r="F186" s="55"/>
      <c r="G186" s="55"/>
      <c r="H186" s="55"/>
      <c r="I186" s="55"/>
      <c r="J186" s="55"/>
      <c r="K186" s="106">
        <f>SUM(K183:K185)</f>
        <v>94.0836</v>
      </c>
    </row>
    <row r="187" spans="2:11" ht="15.75">
      <c r="B187" s="91" t="s">
        <v>74</v>
      </c>
      <c r="C187" s="104"/>
      <c r="D187" s="104"/>
      <c r="E187" s="103" t="s">
        <v>314</v>
      </c>
      <c r="F187" s="104"/>
      <c r="G187" s="104"/>
      <c r="H187" s="104"/>
      <c r="I187" s="104"/>
      <c r="J187" s="104"/>
      <c r="K187" s="104"/>
    </row>
    <row r="188" spans="1:12" s="298" customFormat="1" ht="15.75">
      <c r="A188" s="39"/>
      <c r="B188" s="94" t="s">
        <v>76</v>
      </c>
      <c r="C188" s="94" t="s">
        <v>20</v>
      </c>
      <c r="D188" s="94" t="s">
        <v>77</v>
      </c>
      <c r="E188" s="95" t="s">
        <v>78</v>
      </c>
      <c r="F188" s="94" t="s">
        <v>55</v>
      </c>
      <c r="G188" s="97" t="s">
        <v>295</v>
      </c>
      <c r="H188" s="97" t="s">
        <v>291</v>
      </c>
      <c r="I188" s="96" t="s">
        <v>292</v>
      </c>
      <c r="J188" s="96" t="s">
        <v>298</v>
      </c>
      <c r="K188" s="96" t="s">
        <v>290</v>
      </c>
      <c r="L188" s="297"/>
    </row>
    <row r="189" spans="2:11" ht="15">
      <c r="B189" s="55"/>
      <c r="C189" s="55"/>
      <c r="D189" s="55"/>
      <c r="E189" s="107" t="s">
        <v>344</v>
      </c>
      <c r="F189" s="55"/>
      <c r="G189" s="55">
        <v>1.2</v>
      </c>
      <c r="H189" s="55">
        <v>0.6</v>
      </c>
      <c r="I189" s="55">
        <v>0.5</v>
      </c>
      <c r="J189" s="55">
        <v>3</v>
      </c>
      <c r="K189" s="105">
        <f>G189*H189*I189*J189</f>
        <v>1.08</v>
      </c>
    </row>
    <row r="190" spans="2:11" ht="15">
      <c r="B190" s="55"/>
      <c r="C190" s="55"/>
      <c r="D190" s="55"/>
      <c r="E190" s="107" t="s">
        <v>301</v>
      </c>
      <c r="F190" s="55"/>
      <c r="G190" s="55">
        <v>0.3</v>
      </c>
      <c r="H190" s="55">
        <v>1.8</v>
      </c>
      <c r="I190" s="55">
        <v>0.3</v>
      </c>
      <c r="J190" s="55"/>
      <c r="K190" s="105">
        <f>G190*H190*I190</f>
        <v>0.162</v>
      </c>
    </row>
    <row r="191" spans="2:11" ht="18" customHeight="1">
      <c r="B191" s="56"/>
      <c r="C191" s="56"/>
      <c r="D191" s="56"/>
      <c r="E191" s="56"/>
      <c r="F191" s="55"/>
      <c r="G191" s="55"/>
      <c r="H191" s="55"/>
      <c r="I191" s="55"/>
      <c r="J191" s="55"/>
      <c r="K191" s="106">
        <f>SUM(K189:K190)</f>
        <v>1.242</v>
      </c>
    </row>
    <row r="192" spans="1:12" s="298" customFormat="1" ht="15.75">
      <c r="A192" s="39"/>
      <c r="B192" s="94" t="s">
        <v>79</v>
      </c>
      <c r="C192" s="94" t="s">
        <v>20</v>
      </c>
      <c r="D192" s="94" t="s">
        <v>80</v>
      </c>
      <c r="E192" s="95" t="s">
        <v>81</v>
      </c>
      <c r="F192" s="94" t="s">
        <v>55</v>
      </c>
      <c r="G192" s="97" t="s">
        <v>295</v>
      </c>
      <c r="H192" s="97" t="s">
        <v>291</v>
      </c>
      <c r="I192" s="96" t="s">
        <v>292</v>
      </c>
      <c r="J192" s="96" t="s">
        <v>298</v>
      </c>
      <c r="K192" s="96" t="s">
        <v>290</v>
      </c>
      <c r="L192" s="297"/>
    </row>
    <row r="193" spans="2:11" ht="15">
      <c r="B193" s="116"/>
      <c r="C193" s="116"/>
      <c r="D193" s="116"/>
      <c r="E193" s="107" t="s">
        <v>344</v>
      </c>
      <c r="F193" s="55"/>
      <c r="G193" s="55">
        <v>1.2</v>
      </c>
      <c r="H193" s="55">
        <v>0.6</v>
      </c>
      <c r="I193" s="55">
        <v>0.5</v>
      </c>
      <c r="J193" s="55">
        <v>3</v>
      </c>
      <c r="K193" s="105">
        <f>G193*H193*I193*J193</f>
        <v>1.08</v>
      </c>
    </row>
    <row r="194" spans="2:11" ht="15">
      <c r="B194" s="116"/>
      <c r="C194" s="116"/>
      <c r="D194" s="116"/>
      <c r="E194" s="107" t="s">
        <v>301</v>
      </c>
      <c r="F194" s="55"/>
      <c r="G194" s="55">
        <v>0.3</v>
      </c>
      <c r="H194" s="55">
        <v>1.8</v>
      </c>
      <c r="I194" s="55">
        <v>0.3</v>
      </c>
      <c r="J194" s="55"/>
      <c r="K194" s="105">
        <f>G194*H194*I194</f>
        <v>0.162</v>
      </c>
    </row>
    <row r="195" spans="2:11" ht="18" customHeight="1">
      <c r="B195" s="117"/>
      <c r="C195" s="117"/>
      <c r="D195" s="117"/>
      <c r="E195" s="117"/>
      <c r="F195" s="105"/>
      <c r="G195" s="105"/>
      <c r="H195" s="105"/>
      <c r="I195" s="105"/>
      <c r="J195" s="55"/>
      <c r="K195" s="106">
        <f>SUM(K193:K194)</f>
        <v>1.242</v>
      </c>
    </row>
    <row r="196" spans="1:14" s="298" customFormat="1" ht="15.75">
      <c r="A196" s="39"/>
      <c r="B196" s="94" t="s">
        <v>82</v>
      </c>
      <c r="C196" s="94" t="s">
        <v>20</v>
      </c>
      <c r="D196" s="94" t="s">
        <v>71</v>
      </c>
      <c r="E196" s="95" t="s">
        <v>72</v>
      </c>
      <c r="F196" s="94" t="s">
        <v>73</v>
      </c>
      <c r="G196" s="96" t="s">
        <v>9</v>
      </c>
      <c r="H196" s="96" t="s">
        <v>291</v>
      </c>
      <c r="I196" s="96" t="s">
        <v>310</v>
      </c>
      <c r="J196" s="96" t="s">
        <v>298</v>
      </c>
      <c r="K196" s="96" t="s">
        <v>290</v>
      </c>
      <c r="L196" s="297"/>
      <c r="M196" s="300"/>
      <c r="N196" s="300"/>
    </row>
    <row r="197" spans="2:14" ht="15">
      <c r="B197" s="55"/>
      <c r="C197" s="55"/>
      <c r="D197" s="55"/>
      <c r="E197" s="56" t="s">
        <v>346</v>
      </c>
      <c r="F197" s="55"/>
      <c r="G197" s="100">
        <f>0.6/0.15</f>
        <v>4</v>
      </c>
      <c r="H197" s="100">
        <v>2.3</v>
      </c>
      <c r="I197" s="115">
        <v>0.395</v>
      </c>
      <c r="J197" s="99">
        <v>3</v>
      </c>
      <c r="K197" s="100">
        <f>G197*H197*I197*J197</f>
        <v>10.902</v>
      </c>
      <c r="M197" s="301"/>
      <c r="N197" s="301"/>
    </row>
    <row r="198" spans="2:14" ht="15">
      <c r="B198" s="55"/>
      <c r="C198" s="55"/>
      <c r="D198" s="55"/>
      <c r="E198" s="56" t="s">
        <v>346</v>
      </c>
      <c r="F198" s="55"/>
      <c r="G198" s="100">
        <f>1.2/0.15</f>
        <v>8</v>
      </c>
      <c r="H198" s="100">
        <v>1.1</v>
      </c>
      <c r="I198" s="115">
        <v>0.395</v>
      </c>
      <c r="J198" s="99">
        <v>3</v>
      </c>
      <c r="K198" s="100">
        <f>G198*H198*I198*J198</f>
        <v>10.428</v>
      </c>
      <c r="M198" s="301"/>
      <c r="N198" s="301"/>
    </row>
    <row r="199" spans="2:11" ht="15">
      <c r="B199" s="55"/>
      <c r="C199" s="55"/>
      <c r="D199" s="55"/>
      <c r="E199" s="56" t="s">
        <v>347</v>
      </c>
      <c r="F199" s="55"/>
      <c r="G199" s="100">
        <v>4</v>
      </c>
      <c r="H199" s="100">
        <v>4.48</v>
      </c>
      <c r="I199" s="115">
        <v>0.963</v>
      </c>
      <c r="J199" s="99"/>
      <c r="K199" s="100">
        <f>G199*H199*I199</f>
        <v>17.25696</v>
      </c>
    </row>
    <row r="200" spans="2:11" ht="18" customHeight="1">
      <c r="B200" s="56"/>
      <c r="C200" s="56"/>
      <c r="D200" s="56"/>
      <c r="E200" s="56" t="s">
        <v>318</v>
      </c>
      <c r="F200" s="55"/>
      <c r="G200" s="134">
        <f>4.48/0.15</f>
        <v>29.86666666666667</v>
      </c>
      <c r="H200" s="55">
        <f>0.24+0.24+0.24+0.24+0.06</f>
        <v>1.02</v>
      </c>
      <c r="I200" s="115">
        <v>0.245</v>
      </c>
      <c r="J200" s="55"/>
      <c r="K200" s="100">
        <f>G200*H200*I200</f>
        <v>7.463680000000001</v>
      </c>
    </row>
    <row r="201" spans="2:11" ht="18" customHeight="1">
      <c r="B201" s="56"/>
      <c r="C201" s="56"/>
      <c r="D201" s="56"/>
      <c r="E201" s="56"/>
      <c r="F201" s="55"/>
      <c r="G201" s="55"/>
      <c r="H201" s="55"/>
      <c r="I201" s="115"/>
      <c r="J201" s="55"/>
      <c r="K201" s="106">
        <f>SUM(K197:K200)</f>
        <v>46.05064</v>
      </c>
    </row>
    <row r="202" spans="1:12" s="298" customFormat="1" ht="15.75">
      <c r="A202" s="39"/>
      <c r="B202" s="94" t="s">
        <v>83</v>
      </c>
      <c r="C202" s="94" t="s">
        <v>20</v>
      </c>
      <c r="D202" s="94" t="s">
        <v>84</v>
      </c>
      <c r="E202" s="95" t="s">
        <v>85</v>
      </c>
      <c r="F202" s="94" t="s">
        <v>23</v>
      </c>
      <c r="G202" s="96"/>
      <c r="H202" s="97" t="s">
        <v>291</v>
      </c>
      <c r="I202" s="96" t="s">
        <v>292</v>
      </c>
      <c r="J202" s="96" t="s">
        <v>298</v>
      </c>
      <c r="K202" s="96" t="s">
        <v>290</v>
      </c>
      <c r="L202" s="297"/>
    </row>
    <row r="203" spans="2:11" ht="15">
      <c r="B203" s="55"/>
      <c r="C203" s="55"/>
      <c r="D203" s="55"/>
      <c r="E203" s="56" t="s">
        <v>319</v>
      </c>
      <c r="F203" s="55"/>
      <c r="G203" s="99"/>
      <c r="H203" s="98">
        <f>1.2+1.2+0.9</f>
        <v>3.3</v>
      </c>
      <c r="I203" s="99">
        <v>0.5</v>
      </c>
      <c r="J203" s="99">
        <v>3</v>
      </c>
      <c r="K203" s="100">
        <f>H203*I203*J203</f>
        <v>4.949999999999999</v>
      </c>
    </row>
    <row r="204" spans="2:11" ht="15">
      <c r="B204" s="55"/>
      <c r="C204" s="55"/>
      <c r="D204" s="55"/>
      <c r="E204" s="56" t="s">
        <v>320</v>
      </c>
      <c r="F204" s="55"/>
      <c r="G204" s="99"/>
      <c r="H204" s="100">
        <f>1.8*2</f>
        <v>3.6</v>
      </c>
      <c r="I204" s="100">
        <v>0.3</v>
      </c>
      <c r="J204" s="99"/>
      <c r="K204" s="100">
        <f>H204*I204</f>
        <v>1.08</v>
      </c>
    </row>
    <row r="205" spans="2:11" ht="15">
      <c r="B205" s="55"/>
      <c r="C205" s="55"/>
      <c r="D205" s="55"/>
      <c r="E205" s="56"/>
      <c r="F205" s="55"/>
      <c r="G205" s="99"/>
      <c r="H205" s="100"/>
      <c r="I205" s="100"/>
      <c r="J205" s="55"/>
      <c r="K205" s="106">
        <f>SUM(K203:K204)</f>
        <v>6.029999999999999</v>
      </c>
    </row>
    <row r="206" spans="2:11" ht="15.75">
      <c r="B206" s="91" t="s">
        <v>86</v>
      </c>
      <c r="C206" s="104"/>
      <c r="D206" s="104"/>
      <c r="E206" s="103" t="s">
        <v>321</v>
      </c>
      <c r="F206" s="104"/>
      <c r="G206" s="104"/>
      <c r="H206" s="104"/>
      <c r="I206" s="104"/>
      <c r="J206" s="104"/>
      <c r="K206" s="104"/>
    </row>
    <row r="207" spans="1:12" s="298" customFormat="1" ht="15.75">
      <c r="A207" s="39"/>
      <c r="B207" s="94" t="s">
        <v>88</v>
      </c>
      <c r="C207" s="94" t="s">
        <v>20</v>
      </c>
      <c r="D207" s="94" t="s">
        <v>77</v>
      </c>
      <c r="E207" s="95" t="s">
        <v>78</v>
      </c>
      <c r="F207" s="94" t="s">
        <v>55</v>
      </c>
      <c r="G207" s="96" t="s">
        <v>295</v>
      </c>
      <c r="H207" s="97" t="s">
        <v>291</v>
      </c>
      <c r="I207" s="96" t="s">
        <v>292</v>
      </c>
      <c r="J207" s="96" t="s">
        <v>298</v>
      </c>
      <c r="K207" s="96" t="s">
        <v>290</v>
      </c>
      <c r="L207" s="297"/>
    </row>
    <row r="208" spans="2:11" ht="15">
      <c r="B208" s="55"/>
      <c r="C208" s="55"/>
      <c r="D208" s="55"/>
      <c r="E208" s="56" t="s">
        <v>322</v>
      </c>
      <c r="F208" s="55"/>
      <c r="G208" s="100">
        <v>0.25</v>
      </c>
      <c r="H208" s="100">
        <v>0.53</v>
      </c>
      <c r="I208" s="100">
        <v>1.4</v>
      </c>
      <c r="J208" s="100">
        <v>3</v>
      </c>
      <c r="K208" s="100">
        <f>G208*H208*I208*J208/2</f>
        <v>0.27825</v>
      </c>
    </row>
    <row r="209" spans="2:11" ht="15">
      <c r="B209" s="55"/>
      <c r="C209" s="55"/>
      <c r="D209" s="55"/>
      <c r="E209" s="118" t="s">
        <v>323</v>
      </c>
      <c r="F209" s="55"/>
      <c r="G209" s="99">
        <v>0.3</v>
      </c>
      <c r="H209" s="99">
        <v>0.25</v>
      </c>
      <c r="I209" s="99">
        <f>2.3+0.4</f>
        <v>2.6999999999999997</v>
      </c>
      <c r="J209" s="99">
        <v>3</v>
      </c>
      <c r="K209" s="100">
        <f>G209*H209*I209*J209</f>
        <v>0.6074999999999999</v>
      </c>
    </row>
    <row r="210" spans="2:11" ht="18" customHeight="1">
      <c r="B210" s="56"/>
      <c r="C210" s="56"/>
      <c r="D210" s="56"/>
      <c r="E210" s="56"/>
      <c r="F210" s="55"/>
      <c r="G210" s="55"/>
      <c r="H210" s="55"/>
      <c r="I210" s="55"/>
      <c r="J210" s="55"/>
      <c r="K210" s="106">
        <f>SUM(K208:K209)</f>
        <v>0.8857499999999999</v>
      </c>
    </row>
    <row r="211" spans="1:12" s="298" customFormat="1" ht="15.75">
      <c r="A211" s="39"/>
      <c r="B211" s="94" t="s">
        <v>89</v>
      </c>
      <c r="C211" s="94" t="s">
        <v>20</v>
      </c>
      <c r="D211" s="94" t="s">
        <v>90</v>
      </c>
      <c r="E211" s="95" t="s">
        <v>91</v>
      </c>
      <c r="F211" s="94" t="s">
        <v>55</v>
      </c>
      <c r="G211" s="96" t="s">
        <v>295</v>
      </c>
      <c r="H211" s="97" t="s">
        <v>291</v>
      </c>
      <c r="I211" s="96" t="s">
        <v>292</v>
      </c>
      <c r="J211" s="96" t="s">
        <v>298</v>
      </c>
      <c r="K211" s="102" t="s">
        <v>290</v>
      </c>
      <c r="L211" s="297"/>
    </row>
    <row r="212" spans="2:11" ht="15">
      <c r="B212" s="55"/>
      <c r="C212" s="55"/>
      <c r="D212" s="55"/>
      <c r="E212" s="56" t="s">
        <v>322</v>
      </c>
      <c r="F212" s="55"/>
      <c r="G212" s="100">
        <v>0.25</v>
      </c>
      <c r="H212" s="100">
        <v>0.53</v>
      </c>
      <c r="I212" s="100">
        <v>1.4</v>
      </c>
      <c r="J212" s="100">
        <v>3</v>
      </c>
      <c r="K212" s="100">
        <f>G212*H212*I212*J212/2</f>
        <v>0.27825</v>
      </c>
    </row>
    <row r="213" spans="2:11" ht="15">
      <c r="B213" s="55"/>
      <c r="C213" s="55"/>
      <c r="D213" s="55"/>
      <c r="E213" s="118" t="s">
        <v>323</v>
      </c>
      <c r="F213" s="55"/>
      <c r="G213" s="99">
        <v>0.3</v>
      </c>
      <c r="H213" s="99">
        <v>0.25</v>
      </c>
      <c r="I213" s="99">
        <f>2.3+0.4</f>
        <v>2.6999999999999997</v>
      </c>
      <c r="J213" s="99">
        <v>3</v>
      </c>
      <c r="K213" s="100">
        <f>G213*H213*I213*J213</f>
        <v>0.6074999999999999</v>
      </c>
    </row>
    <row r="214" spans="2:11" ht="18" customHeight="1">
      <c r="B214" s="56"/>
      <c r="C214" s="56"/>
      <c r="D214" s="56"/>
      <c r="E214" s="56"/>
      <c r="F214" s="55"/>
      <c r="G214" s="55"/>
      <c r="H214" s="55"/>
      <c r="I214" s="55"/>
      <c r="J214" s="55"/>
      <c r="K214" s="106">
        <f>SUM(K212:K213)</f>
        <v>0.8857499999999999</v>
      </c>
    </row>
    <row r="215" spans="1:12" s="298" customFormat="1" ht="15.75">
      <c r="A215" s="39"/>
      <c r="B215" s="94" t="s">
        <v>92</v>
      </c>
      <c r="C215" s="94" t="s">
        <v>20</v>
      </c>
      <c r="D215" s="94" t="s">
        <v>71</v>
      </c>
      <c r="E215" s="95" t="s">
        <v>72</v>
      </c>
      <c r="F215" s="94" t="s">
        <v>73</v>
      </c>
      <c r="G215" s="96" t="s">
        <v>9</v>
      </c>
      <c r="H215" s="96" t="s">
        <v>291</v>
      </c>
      <c r="I215" s="96" t="s">
        <v>310</v>
      </c>
      <c r="J215" s="96" t="s">
        <v>298</v>
      </c>
      <c r="K215" s="96" t="s">
        <v>290</v>
      </c>
      <c r="L215" s="297"/>
    </row>
    <row r="216" spans="2:11" ht="15">
      <c r="B216" s="55"/>
      <c r="C216" s="55"/>
      <c r="D216" s="55"/>
      <c r="E216" s="56" t="s">
        <v>324</v>
      </c>
      <c r="F216" s="55"/>
      <c r="G216" s="100">
        <v>2</v>
      </c>
      <c r="H216" s="100">
        <v>2.1</v>
      </c>
      <c r="I216" s="115">
        <v>0.617</v>
      </c>
      <c r="J216" s="100">
        <v>3</v>
      </c>
      <c r="K216" s="100">
        <f aca="true" t="shared" si="1" ref="K216:K221">G216*H216*I216*J216</f>
        <v>7.7742</v>
      </c>
    </row>
    <row r="217" spans="2:11" ht="15">
      <c r="B217" s="55"/>
      <c r="C217" s="55"/>
      <c r="D217" s="55"/>
      <c r="E217" s="56" t="s">
        <v>325</v>
      </c>
      <c r="F217" s="55"/>
      <c r="G217" s="100">
        <v>2</v>
      </c>
      <c r="H217" s="100">
        <v>2.4</v>
      </c>
      <c r="I217" s="115">
        <v>0.617</v>
      </c>
      <c r="J217" s="100">
        <v>3</v>
      </c>
      <c r="K217" s="100">
        <f t="shared" si="1"/>
        <v>8.884799999999998</v>
      </c>
    </row>
    <row r="218" spans="2:11" ht="15">
      <c r="B218" s="55"/>
      <c r="C218" s="55"/>
      <c r="D218" s="55"/>
      <c r="E218" s="56" t="s">
        <v>326</v>
      </c>
      <c r="F218" s="55"/>
      <c r="G218" s="99">
        <v>3</v>
      </c>
      <c r="H218" s="99">
        <v>2.3</v>
      </c>
      <c r="I218" s="99">
        <v>1.578</v>
      </c>
      <c r="J218" s="99">
        <v>3</v>
      </c>
      <c r="K218" s="100">
        <f t="shared" si="1"/>
        <v>32.6646</v>
      </c>
    </row>
    <row r="219" spans="2:11" ht="15">
      <c r="B219" s="55"/>
      <c r="C219" s="55"/>
      <c r="D219" s="55"/>
      <c r="E219" s="56" t="s">
        <v>327</v>
      </c>
      <c r="F219" s="55"/>
      <c r="G219" s="99">
        <v>2</v>
      </c>
      <c r="H219" s="99">
        <v>2.3</v>
      </c>
      <c r="I219" s="99">
        <v>0.963</v>
      </c>
      <c r="J219" s="99">
        <v>3</v>
      </c>
      <c r="K219" s="100">
        <f t="shared" si="1"/>
        <v>13.289399999999997</v>
      </c>
    </row>
    <row r="220" spans="2:11" ht="15">
      <c r="B220" s="55"/>
      <c r="C220" s="55"/>
      <c r="D220" s="55"/>
      <c r="E220" s="56" t="s">
        <v>328</v>
      </c>
      <c r="F220" s="55"/>
      <c r="G220" s="99">
        <v>4</v>
      </c>
      <c r="H220" s="99">
        <v>0.5</v>
      </c>
      <c r="I220" s="99">
        <v>0.395</v>
      </c>
      <c r="J220" s="99">
        <v>3</v>
      </c>
      <c r="K220" s="100">
        <f t="shared" si="1"/>
        <v>2.37</v>
      </c>
    </row>
    <row r="221" spans="2:11" ht="15">
      <c r="B221" s="55"/>
      <c r="C221" s="55"/>
      <c r="D221" s="55"/>
      <c r="E221" s="56" t="s">
        <v>329</v>
      </c>
      <c r="F221" s="55"/>
      <c r="G221" s="119">
        <f>(2.3+0.4)/0.15</f>
        <v>18</v>
      </c>
      <c r="H221" s="99">
        <f>0.5+0.6-0.12+0.06</f>
        <v>1.04</v>
      </c>
      <c r="I221" s="99">
        <v>0.245</v>
      </c>
      <c r="J221" s="99">
        <v>3</v>
      </c>
      <c r="K221" s="100">
        <f t="shared" si="1"/>
        <v>13.759199999999998</v>
      </c>
    </row>
    <row r="222" spans="2:11" ht="18" customHeight="1">
      <c r="B222" s="56"/>
      <c r="C222" s="56"/>
      <c r="D222" s="56"/>
      <c r="E222" s="56"/>
      <c r="F222" s="55"/>
      <c r="G222" s="55"/>
      <c r="H222" s="55"/>
      <c r="I222" s="55"/>
      <c r="J222" s="55"/>
      <c r="K222" s="106">
        <f>SUM(K216:K221)</f>
        <v>78.7422</v>
      </c>
    </row>
    <row r="223" spans="1:12" s="298" customFormat="1" ht="15.75">
      <c r="A223" s="39"/>
      <c r="B223" s="94" t="s">
        <v>93</v>
      </c>
      <c r="C223" s="94" t="s">
        <v>20</v>
      </c>
      <c r="D223" s="94" t="s">
        <v>94</v>
      </c>
      <c r="E223" s="95" t="s">
        <v>95</v>
      </c>
      <c r="F223" s="94" t="s">
        <v>23</v>
      </c>
      <c r="G223" s="94" t="s">
        <v>295</v>
      </c>
      <c r="H223" s="97" t="s">
        <v>291</v>
      </c>
      <c r="I223" s="94" t="s">
        <v>292</v>
      </c>
      <c r="J223" s="94" t="s">
        <v>298</v>
      </c>
      <c r="K223" s="114" t="s">
        <v>290</v>
      </c>
      <c r="L223" s="297"/>
    </row>
    <row r="224" spans="2:11" ht="15">
      <c r="B224" s="55"/>
      <c r="C224" s="55"/>
      <c r="D224" s="55"/>
      <c r="E224" s="56" t="s">
        <v>323</v>
      </c>
      <c r="F224" s="55"/>
      <c r="G224" s="55">
        <v>0.25</v>
      </c>
      <c r="H224" s="55"/>
      <c r="I224" s="55">
        <f>2.3+0.4</f>
        <v>2.6999999999999997</v>
      </c>
      <c r="J224" s="55">
        <v>6</v>
      </c>
      <c r="K224" s="105">
        <f>G224*I224*J224</f>
        <v>4.05</v>
      </c>
    </row>
    <row r="225" spans="2:11" ht="15">
      <c r="B225" s="55"/>
      <c r="C225" s="55"/>
      <c r="D225" s="55"/>
      <c r="E225" s="56" t="s">
        <v>330</v>
      </c>
      <c r="F225" s="55"/>
      <c r="G225" s="55">
        <v>0.25</v>
      </c>
      <c r="H225" s="55">
        <v>1.4</v>
      </c>
      <c r="I225" s="55"/>
      <c r="J225" s="55">
        <v>3</v>
      </c>
      <c r="K225" s="105">
        <f>G225*H225*J225</f>
        <v>1.0499999999999998</v>
      </c>
    </row>
    <row r="226" spans="2:11" ht="18" customHeight="1">
      <c r="B226" s="56"/>
      <c r="C226" s="56"/>
      <c r="D226" s="56"/>
      <c r="E226" s="56" t="s">
        <v>331</v>
      </c>
      <c r="F226" s="55"/>
      <c r="G226" s="55">
        <v>0.53</v>
      </c>
      <c r="H226" s="55">
        <v>1.4</v>
      </c>
      <c r="I226" s="55"/>
      <c r="J226" s="55">
        <v>3</v>
      </c>
      <c r="K226" s="105">
        <f>G226*H226*J226</f>
        <v>2.226</v>
      </c>
    </row>
    <row r="227" spans="2:11" ht="18" customHeight="1">
      <c r="B227" s="56"/>
      <c r="C227" s="56"/>
      <c r="D227" s="56"/>
      <c r="E227" s="56"/>
      <c r="F227" s="55"/>
      <c r="G227" s="55"/>
      <c r="H227" s="55"/>
      <c r="I227" s="55"/>
      <c r="J227" s="55"/>
      <c r="K227" s="106">
        <f>SUM(K224:K226)</f>
        <v>7.326</v>
      </c>
    </row>
    <row r="228" spans="2:11" ht="15.75">
      <c r="B228" s="91" t="s">
        <v>96</v>
      </c>
      <c r="C228" s="104"/>
      <c r="D228" s="104"/>
      <c r="E228" s="103" t="s">
        <v>97</v>
      </c>
      <c r="F228" s="104"/>
      <c r="G228" s="104"/>
      <c r="H228" s="104"/>
      <c r="I228" s="104"/>
      <c r="J228" s="104"/>
      <c r="K228" s="104"/>
    </row>
    <row r="229" spans="1:12" s="298" customFormat="1" ht="15.75">
      <c r="A229" s="39"/>
      <c r="B229" s="94" t="s">
        <v>98</v>
      </c>
      <c r="C229" s="94" t="s">
        <v>20</v>
      </c>
      <c r="D229" s="94" t="s">
        <v>77</v>
      </c>
      <c r="E229" s="95" t="s">
        <v>78</v>
      </c>
      <c r="F229" s="94" t="s">
        <v>55</v>
      </c>
      <c r="G229" s="96" t="s">
        <v>295</v>
      </c>
      <c r="H229" s="97" t="s">
        <v>291</v>
      </c>
      <c r="I229" s="96" t="s">
        <v>292</v>
      </c>
      <c r="J229" s="96" t="s">
        <v>298</v>
      </c>
      <c r="K229" s="102" t="s">
        <v>290</v>
      </c>
      <c r="L229" s="297"/>
    </row>
    <row r="230" spans="2:11" ht="15">
      <c r="B230" s="55"/>
      <c r="C230" s="55"/>
      <c r="D230" s="55"/>
      <c r="E230" s="56"/>
      <c r="F230" s="55"/>
      <c r="G230" s="99">
        <v>0.2</v>
      </c>
      <c r="H230" s="99">
        <v>4.48</v>
      </c>
      <c r="I230" s="99">
        <v>0.3</v>
      </c>
      <c r="J230" s="99">
        <v>3</v>
      </c>
      <c r="K230" s="100">
        <f>G230*H230*I230*J230</f>
        <v>0.8064000000000001</v>
      </c>
    </row>
    <row r="231" spans="1:12" s="298" customFormat="1" ht="15.75">
      <c r="A231" s="39"/>
      <c r="B231" s="94" t="s">
        <v>99</v>
      </c>
      <c r="C231" s="94" t="s">
        <v>20</v>
      </c>
      <c r="D231" s="94" t="s">
        <v>90</v>
      </c>
      <c r="E231" s="95" t="s">
        <v>91</v>
      </c>
      <c r="F231" s="94" t="s">
        <v>55</v>
      </c>
      <c r="G231" s="96" t="s">
        <v>295</v>
      </c>
      <c r="H231" s="97" t="s">
        <v>291</v>
      </c>
      <c r="I231" s="96" t="s">
        <v>292</v>
      </c>
      <c r="J231" s="96" t="s">
        <v>298</v>
      </c>
      <c r="K231" s="102" t="s">
        <v>290</v>
      </c>
      <c r="L231" s="297"/>
    </row>
    <row r="232" spans="2:11" ht="15">
      <c r="B232" s="55"/>
      <c r="C232" s="55"/>
      <c r="D232" s="55"/>
      <c r="E232" s="56"/>
      <c r="F232" s="55"/>
      <c r="G232" s="99">
        <v>0.2</v>
      </c>
      <c r="H232" s="99">
        <v>4.48</v>
      </c>
      <c r="I232" s="99">
        <v>0.3</v>
      </c>
      <c r="J232" s="99">
        <v>3</v>
      </c>
      <c r="K232" s="100">
        <f>G232*H232*I232*J232</f>
        <v>0.8064000000000001</v>
      </c>
    </row>
    <row r="233" spans="1:12" s="298" customFormat="1" ht="15.75">
      <c r="A233" s="39"/>
      <c r="B233" s="94" t="s">
        <v>100</v>
      </c>
      <c r="C233" s="94" t="s">
        <v>20</v>
      </c>
      <c r="D233" s="94" t="s">
        <v>71</v>
      </c>
      <c r="E233" s="95" t="s">
        <v>72</v>
      </c>
      <c r="F233" s="94" t="s">
        <v>73</v>
      </c>
      <c r="G233" s="96" t="s">
        <v>9</v>
      </c>
      <c r="H233" s="96" t="s">
        <v>291</v>
      </c>
      <c r="I233" s="96" t="s">
        <v>310</v>
      </c>
      <c r="J233" s="96" t="s">
        <v>298</v>
      </c>
      <c r="K233" s="96" t="s">
        <v>290</v>
      </c>
      <c r="L233" s="297"/>
    </row>
    <row r="234" spans="2:11" ht="15">
      <c r="B234" s="55"/>
      <c r="C234" s="55"/>
      <c r="D234" s="55"/>
      <c r="E234" s="56" t="s">
        <v>332</v>
      </c>
      <c r="F234" s="55"/>
      <c r="G234" s="99">
        <v>5</v>
      </c>
      <c r="H234" s="99">
        <v>4.48</v>
      </c>
      <c r="I234" s="99">
        <v>0.617</v>
      </c>
      <c r="J234" s="99"/>
      <c r="K234" s="100">
        <f>G234*H234*I234</f>
        <v>13.820800000000002</v>
      </c>
    </row>
    <row r="235" spans="2:11" ht="15">
      <c r="B235" s="55"/>
      <c r="C235" s="55"/>
      <c r="D235" s="55"/>
      <c r="E235" s="56" t="s">
        <v>333</v>
      </c>
      <c r="F235" s="55"/>
      <c r="G235" s="99">
        <v>6</v>
      </c>
      <c r="H235" s="99">
        <v>4.48</v>
      </c>
      <c r="I235" s="99">
        <v>0.617</v>
      </c>
      <c r="J235" s="99"/>
      <c r="K235" s="100">
        <f>G235*H235*I235</f>
        <v>16.584960000000002</v>
      </c>
    </row>
    <row r="236" spans="2:11" ht="15">
      <c r="B236" s="55"/>
      <c r="C236" s="55"/>
      <c r="D236" s="55"/>
      <c r="E236" s="56" t="s">
        <v>334</v>
      </c>
      <c r="F236" s="55"/>
      <c r="G236" s="99">
        <v>6</v>
      </c>
      <c r="H236" s="99">
        <v>4.48</v>
      </c>
      <c r="I236" s="99">
        <v>0.963</v>
      </c>
      <c r="J236" s="99"/>
      <c r="K236" s="100">
        <f>G236*H236*I236</f>
        <v>25.885440000000003</v>
      </c>
    </row>
    <row r="237" spans="2:11" ht="15">
      <c r="B237" s="55"/>
      <c r="C237" s="55"/>
      <c r="D237" s="55"/>
      <c r="E237" s="56" t="s">
        <v>329</v>
      </c>
      <c r="F237" s="55"/>
      <c r="G237" s="119">
        <f>4.48*3/0.15</f>
        <v>89.60000000000001</v>
      </c>
      <c r="H237" s="99">
        <f>0.14+0.14+0.24+0.24+0.06</f>
        <v>0.8200000000000001</v>
      </c>
      <c r="I237" s="99">
        <v>0.245</v>
      </c>
      <c r="J237" s="99"/>
      <c r="K237" s="100">
        <f>G237*H237*I237</f>
        <v>18.00064</v>
      </c>
    </row>
    <row r="238" spans="2:11" ht="18" customHeight="1">
      <c r="B238" s="56"/>
      <c r="C238" s="56"/>
      <c r="D238" s="56"/>
      <c r="E238" s="56"/>
      <c r="F238" s="55"/>
      <c r="G238" s="55"/>
      <c r="H238" s="55"/>
      <c r="I238" s="55"/>
      <c r="J238" s="55"/>
      <c r="K238" s="106">
        <f>SUM(K234:K237)</f>
        <v>74.29184000000001</v>
      </c>
    </row>
    <row r="239" spans="1:12" s="298" customFormat="1" ht="15.75">
      <c r="A239" s="39"/>
      <c r="B239" s="94" t="s">
        <v>101</v>
      </c>
      <c r="C239" s="94" t="s">
        <v>20</v>
      </c>
      <c r="D239" s="94" t="s">
        <v>94</v>
      </c>
      <c r="E239" s="95" t="s">
        <v>95</v>
      </c>
      <c r="F239" s="94" t="s">
        <v>23</v>
      </c>
      <c r="G239" s="96" t="s">
        <v>9</v>
      </c>
      <c r="H239" s="97" t="s">
        <v>291</v>
      </c>
      <c r="I239" s="96" t="s">
        <v>292</v>
      </c>
      <c r="J239" s="96" t="s">
        <v>298</v>
      </c>
      <c r="K239" s="102" t="s">
        <v>290</v>
      </c>
      <c r="L239" s="297"/>
    </row>
    <row r="240" spans="2:11" ht="15">
      <c r="B240" s="55"/>
      <c r="C240" s="55"/>
      <c r="D240" s="55"/>
      <c r="E240" s="56"/>
      <c r="F240" s="55"/>
      <c r="G240" s="99">
        <v>2</v>
      </c>
      <c r="H240" s="99">
        <v>4.48</v>
      </c>
      <c r="I240" s="99">
        <v>0.3</v>
      </c>
      <c r="J240" s="99">
        <v>3</v>
      </c>
      <c r="K240" s="100">
        <f>G240*H240*I240*J240</f>
        <v>8.064</v>
      </c>
    </row>
    <row r="241" spans="2:11" ht="15">
      <c r="B241" s="120"/>
      <c r="C241" s="120"/>
      <c r="D241" s="120"/>
      <c r="E241" s="107"/>
      <c r="F241" s="120"/>
      <c r="G241" s="121"/>
      <c r="H241" s="121"/>
      <c r="I241" s="121"/>
      <c r="J241" s="121"/>
      <c r="K241" s="106">
        <f>K240</f>
        <v>8.064</v>
      </c>
    </row>
    <row r="242" spans="2:11" ht="15.75">
      <c r="B242" s="91" t="s">
        <v>102</v>
      </c>
      <c r="C242" s="104"/>
      <c r="D242" s="104"/>
      <c r="E242" s="103" t="s">
        <v>103</v>
      </c>
      <c r="F242" s="104"/>
      <c r="G242" s="104"/>
      <c r="H242" s="104"/>
      <c r="I242" s="104"/>
      <c r="J242" s="104"/>
      <c r="K242" s="104"/>
    </row>
    <row r="243" spans="1:12" s="298" customFormat="1" ht="15.75">
      <c r="A243" s="39"/>
      <c r="B243" s="94" t="s">
        <v>104</v>
      </c>
      <c r="C243" s="94" t="s">
        <v>20</v>
      </c>
      <c r="D243" s="94" t="s">
        <v>105</v>
      </c>
      <c r="E243" s="95" t="s">
        <v>106</v>
      </c>
      <c r="F243" s="94" t="s">
        <v>23</v>
      </c>
      <c r="G243" s="96" t="s">
        <v>335</v>
      </c>
      <c r="H243" s="97" t="s">
        <v>291</v>
      </c>
      <c r="I243" s="96" t="s">
        <v>292</v>
      </c>
      <c r="J243" s="96" t="s">
        <v>298</v>
      </c>
      <c r="K243" s="102" t="s">
        <v>290</v>
      </c>
      <c r="L243" s="297"/>
    </row>
    <row r="244" spans="2:11" ht="15">
      <c r="B244" s="55"/>
      <c r="C244" s="55"/>
      <c r="D244" s="55"/>
      <c r="E244" s="56" t="s">
        <v>297</v>
      </c>
      <c r="F244" s="55"/>
      <c r="G244" s="99">
        <v>7</v>
      </c>
      <c r="H244" s="99">
        <f>4.48-0.75</f>
        <v>3.7300000000000004</v>
      </c>
      <c r="I244" s="99">
        <v>0.2</v>
      </c>
      <c r="J244" s="99"/>
      <c r="K244" s="99">
        <f>G244*H244*I244</f>
        <v>5.222000000000001</v>
      </c>
    </row>
    <row r="245" spans="2:11" ht="15">
      <c r="B245" s="55"/>
      <c r="C245" s="55"/>
      <c r="D245" s="55"/>
      <c r="E245" s="56" t="s">
        <v>305</v>
      </c>
      <c r="F245" s="55"/>
      <c r="G245" s="99">
        <v>2</v>
      </c>
      <c r="H245" s="99">
        <f>4.48-0.75</f>
        <v>3.7300000000000004</v>
      </c>
      <c r="I245" s="99">
        <v>0.2</v>
      </c>
      <c r="J245" s="99"/>
      <c r="K245" s="99">
        <f>G245*H245*I245</f>
        <v>1.4920000000000002</v>
      </c>
    </row>
    <row r="246" spans="2:11" ht="18" customHeight="1">
      <c r="B246" s="56"/>
      <c r="C246" s="56"/>
      <c r="D246" s="56"/>
      <c r="E246" s="56"/>
      <c r="F246" s="55"/>
      <c r="G246" s="55"/>
      <c r="H246" s="55"/>
      <c r="I246" s="55"/>
      <c r="J246" s="55"/>
      <c r="K246" s="122">
        <f>SUM(K244:K245)</f>
        <v>6.714000000000001</v>
      </c>
    </row>
    <row r="247" spans="1:12" s="298" customFormat="1" ht="31.5">
      <c r="A247" s="39"/>
      <c r="B247" s="94" t="s">
        <v>107</v>
      </c>
      <c r="C247" s="94" t="s">
        <v>20</v>
      </c>
      <c r="D247" s="94" t="s">
        <v>108</v>
      </c>
      <c r="E247" s="101" t="s">
        <v>109</v>
      </c>
      <c r="F247" s="94" t="s">
        <v>55</v>
      </c>
      <c r="G247" s="96" t="s">
        <v>295</v>
      </c>
      <c r="H247" s="97" t="s">
        <v>291</v>
      </c>
      <c r="I247" s="96" t="s">
        <v>292</v>
      </c>
      <c r="J247" s="96" t="s">
        <v>298</v>
      </c>
      <c r="K247" s="102" t="s">
        <v>290</v>
      </c>
      <c r="L247" s="297"/>
    </row>
    <row r="248" spans="2:11" ht="15">
      <c r="B248" s="55"/>
      <c r="C248" s="55"/>
      <c r="D248" s="55"/>
      <c r="E248" s="107" t="s">
        <v>395</v>
      </c>
      <c r="F248" s="55"/>
      <c r="G248" s="99">
        <v>0.02</v>
      </c>
      <c r="H248" s="99">
        <v>4.48</v>
      </c>
      <c r="I248" s="99">
        <f>2.3+0.4</f>
        <v>2.6999999999999997</v>
      </c>
      <c r="J248" s="99">
        <v>1</v>
      </c>
      <c r="K248" s="100">
        <f>G248*H248*I248*J248</f>
        <v>0.24192000000000002</v>
      </c>
    </row>
    <row r="249" spans="2:11" ht="15">
      <c r="B249" s="55"/>
      <c r="C249" s="55"/>
      <c r="D249" s="55"/>
      <c r="E249" s="141" t="s">
        <v>396</v>
      </c>
      <c r="F249" s="55"/>
      <c r="G249" s="99">
        <v>0.02</v>
      </c>
      <c r="H249" s="99">
        <v>4.48</v>
      </c>
      <c r="I249" s="99">
        <v>0.4</v>
      </c>
      <c r="J249" s="99"/>
      <c r="K249" s="100">
        <f>G249*H249*I249</f>
        <v>0.035840000000000004</v>
      </c>
    </row>
    <row r="250" spans="2:11" ht="15">
      <c r="B250" s="55"/>
      <c r="C250" s="55"/>
      <c r="D250" s="55"/>
      <c r="E250" s="107" t="s">
        <v>336</v>
      </c>
      <c r="F250" s="55"/>
      <c r="G250" s="99">
        <v>0.2</v>
      </c>
      <c r="H250" s="99">
        <v>4.48</v>
      </c>
      <c r="I250" s="99">
        <v>0.02</v>
      </c>
      <c r="J250" s="99"/>
      <c r="K250" s="100">
        <f>G250*H250*I250</f>
        <v>0.017920000000000002</v>
      </c>
    </row>
    <row r="251" spans="2:11" ht="18" customHeight="1">
      <c r="B251" s="56"/>
      <c r="C251" s="56"/>
      <c r="D251" s="56"/>
      <c r="E251" s="56"/>
      <c r="F251" s="55"/>
      <c r="G251" s="55"/>
      <c r="H251" s="55"/>
      <c r="I251" s="55"/>
      <c r="J251" s="55"/>
      <c r="K251" s="106">
        <f>SUM(K248:K250)</f>
        <v>0.29568</v>
      </c>
    </row>
    <row r="252" spans="1:12" s="298" customFormat="1" ht="15.75">
      <c r="A252" s="39"/>
      <c r="B252" s="123" t="s">
        <v>110</v>
      </c>
      <c r="C252" s="123" t="s">
        <v>20</v>
      </c>
      <c r="D252" s="123" t="s">
        <v>111</v>
      </c>
      <c r="E252" s="124" t="s">
        <v>112</v>
      </c>
      <c r="F252" s="123" t="s">
        <v>23</v>
      </c>
      <c r="G252" s="123" t="s">
        <v>295</v>
      </c>
      <c r="H252" s="125" t="s">
        <v>291</v>
      </c>
      <c r="I252" s="123" t="s">
        <v>292</v>
      </c>
      <c r="J252" s="123" t="s">
        <v>303</v>
      </c>
      <c r="K252" s="126" t="s">
        <v>290</v>
      </c>
      <c r="L252" s="297"/>
    </row>
    <row r="253" spans="2:11" ht="15">
      <c r="B253" s="57"/>
      <c r="C253" s="57"/>
      <c r="D253" s="57"/>
      <c r="E253" s="107" t="s">
        <v>395</v>
      </c>
      <c r="F253" s="57"/>
      <c r="G253" s="57"/>
      <c r="H253" s="57">
        <v>4.48</v>
      </c>
      <c r="I253" s="57">
        <f>2.3+0.4</f>
        <v>2.6999999999999997</v>
      </c>
      <c r="J253" s="57">
        <v>1</v>
      </c>
      <c r="K253" s="128">
        <f>H253*I253*J253</f>
        <v>12.096</v>
      </c>
    </row>
    <row r="254" spans="2:11" ht="15">
      <c r="B254" s="57"/>
      <c r="C254" s="57"/>
      <c r="D254" s="57"/>
      <c r="E254" s="141" t="s">
        <v>396</v>
      </c>
      <c r="F254" s="57"/>
      <c r="G254" s="57"/>
      <c r="H254" s="57">
        <v>4.48</v>
      </c>
      <c r="I254" s="57">
        <v>0.4</v>
      </c>
      <c r="J254" s="57"/>
      <c r="K254" s="128">
        <f>H254*I254</f>
        <v>1.7920000000000003</v>
      </c>
    </row>
    <row r="255" spans="2:11" ht="15">
      <c r="B255" s="57"/>
      <c r="C255" s="57"/>
      <c r="D255" s="57"/>
      <c r="E255" s="107" t="s">
        <v>336</v>
      </c>
      <c r="F255" s="57"/>
      <c r="G255" s="57">
        <v>0.2</v>
      </c>
      <c r="H255" s="57">
        <v>4.48</v>
      </c>
      <c r="I255" s="57"/>
      <c r="J255" s="57"/>
      <c r="K255" s="128">
        <f>G255*H255</f>
        <v>0.8960000000000001</v>
      </c>
    </row>
    <row r="256" spans="2:11" ht="18" customHeight="1">
      <c r="B256" s="129"/>
      <c r="C256" s="129"/>
      <c r="D256" s="129"/>
      <c r="E256" s="129"/>
      <c r="F256" s="57"/>
      <c r="G256" s="57"/>
      <c r="H256" s="57"/>
      <c r="I256" s="57"/>
      <c r="J256" s="57"/>
      <c r="K256" s="130">
        <f>SUM(K253:K255)</f>
        <v>14.784</v>
      </c>
    </row>
    <row r="257" spans="1:12" s="298" customFormat="1" ht="15.75">
      <c r="A257" s="39"/>
      <c r="B257" s="123" t="s">
        <v>113</v>
      </c>
      <c r="C257" s="123" t="s">
        <v>20</v>
      </c>
      <c r="D257" s="123" t="s">
        <v>71</v>
      </c>
      <c r="E257" s="124" t="s">
        <v>72</v>
      </c>
      <c r="F257" s="123" t="s">
        <v>73</v>
      </c>
      <c r="G257" s="123" t="s">
        <v>9</v>
      </c>
      <c r="H257" s="123" t="s">
        <v>291</v>
      </c>
      <c r="I257" s="123" t="s">
        <v>310</v>
      </c>
      <c r="J257" s="123"/>
      <c r="K257" s="123" t="s">
        <v>290</v>
      </c>
      <c r="L257" s="297"/>
    </row>
    <row r="258" spans="2:11" ht="15">
      <c r="B258" s="57"/>
      <c r="C258" s="57"/>
      <c r="D258" s="57"/>
      <c r="E258" s="129" t="s">
        <v>337</v>
      </c>
      <c r="F258" s="57"/>
      <c r="G258" s="57">
        <v>2</v>
      </c>
      <c r="H258" s="57">
        <v>4.48</v>
      </c>
      <c r="I258" s="57">
        <v>0.245</v>
      </c>
      <c r="J258" s="57"/>
      <c r="K258" s="128">
        <f>G258*H258*I258</f>
        <v>2.1952000000000003</v>
      </c>
    </row>
    <row r="259" spans="2:11" ht="15">
      <c r="B259" s="57"/>
      <c r="C259" s="57"/>
      <c r="D259" s="57"/>
      <c r="E259" s="129" t="s">
        <v>338</v>
      </c>
      <c r="F259" s="57"/>
      <c r="G259" s="57">
        <v>1</v>
      </c>
      <c r="H259" s="57">
        <v>4.48</v>
      </c>
      <c r="I259" s="57">
        <v>0.395</v>
      </c>
      <c r="J259" s="57"/>
      <c r="K259" s="128">
        <f>G259*H259*I259</f>
        <v>1.7696000000000003</v>
      </c>
    </row>
    <row r="260" spans="2:11" ht="15">
      <c r="B260" s="57"/>
      <c r="C260" s="57"/>
      <c r="D260" s="57"/>
      <c r="E260" s="129" t="s">
        <v>339</v>
      </c>
      <c r="F260" s="57"/>
      <c r="G260" s="57">
        <v>1</v>
      </c>
      <c r="H260" s="57">
        <v>4.48</v>
      </c>
      <c r="I260" s="57">
        <v>0.395</v>
      </c>
      <c r="J260" s="57"/>
      <c r="K260" s="128">
        <f>G260*H260*I260</f>
        <v>1.7696000000000003</v>
      </c>
    </row>
    <row r="261" spans="2:11" ht="18" customHeight="1">
      <c r="B261" s="129"/>
      <c r="C261" s="129"/>
      <c r="D261" s="129"/>
      <c r="E261" s="129"/>
      <c r="F261" s="57"/>
      <c r="G261" s="57"/>
      <c r="H261" s="57"/>
      <c r="I261" s="57"/>
      <c r="J261" s="57"/>
      <c r="K261" s="130">
        <f>SUM(K258:K260)</f>
        <v>5.734400000000001</v>
      </c>
    </row>
    <row r="262" spans="1:12" s="298" customFormat="1" ht="31.5">
      <c r="A262" s="39"/>
      <c r="B262" s="123" t="s">
        <v>114</v>
      </c>
      <c r="C262" s="123" t="s">
        <v>20</v>
      </c>
      <c r="D262" s="123" t="s">
        <v>115</v>
      </c>
      <c r="E262" s="131" t="s">
        <v>116</v>
      </c>
      <c r="F262" s="123" t="s">
        <v>23</v>
      </c>
      <c r="G262" s="123"/>
      <c r="H262" s="125" t="s">
        <v>291</v>
      </c>
      <c r="I262" s="123" t="s">
        <v>292</v>
      </c>
      <c r="J262" s="123"/>
      <c r="K262" s="126" t="s">
        <v>290</v>
      </c>
      <c r="L262" s="297"/>
    </row>
    <row r="263" spans="2:11" ht="15">
      <c r="B263" s="57"/>
      <c r="C263" s="57"/>
      <c r="D263" s="57"/>
      <c r="E263" s="127"/>
      <c r="F263" s="57"/>
      <c r="G263" s="57"/>
      <c r="H263" s="57">
        <v>4.48</v>
      </c>
      <c r="I263" s="57">
        <v>1.1</v>
      </c>
      <c r="J263" s="57"/>
      <c r="K263" s="128">
        <f>H263*I263</f>
        <v>4.928000000000001</v>
      </c>
    </row>
    <row r="264" spans="1:12" s="298" customFormat="1" ht="15.75">
      <c r="A264" s="39"/>
      <c r="B264" s="123" t="s">
        <v>117</v>
      </c>
      <c r="C264" s="123" t="s">
        <v>20</v>
      </c>
      <c r="D264" s="123" t="s">
        <v>118</v>
      </c>
      <c r="E264" s="124" t="s">
        <v>119</v>
      </c>
      <c r="F264" s="123" t="s">
        <v>23</v>
      </c>
      <c r="G264" s="123"/>
      <c r="H264" s="125" t="s">
        <v>291</v>
      </c>
      <c r="I264" s="123" t="s">
        <v>292</v>
      </c>
      <c r="J264" s="123" t="s">
        <v>298</v>
      </c>
      <c r="K264" s="126" t="s">
        <v>290</v>
      </c>
      <c r="L264" s="297"/>
    </row>
    <row r="265" spans="2:11" ht="15">
      <c r="B265" s="57"/>
      <c r="C265" s="57"/>
      <c r="D265" s="57"/>
      <c r="E265" s="107" t="s">
        <v>395</v>
      </c>
      <c r="F265" s="57"/>
      <c r="G265" s="57"/>
      <c r="H265" s="57">
        <v>4.48</v>
      </c>
      <c r="I265" s="57">
        <f>2.3+0.4</f>
        <v>2.6999999999999997</v>
      </c>
      <c r="J265" s="57">
        <v>1</v>
      </c>
      <c r="K265" s="128">
        <f>H265*I265*J265</f>
        <v>12.096</v>
      </c>
    </row>
    <row r="266" spans="2:11" ht="15">
      <c r="B266" s="57"/>
      <c r="C266" s="57"/>
      <c r="D266" s="57"/>
      <c r="E266" s="141" t="s">
        <v>396</v>
      </c>
      <c r="F266" s="57"/>
      <c r="G266" s="57"/>
      <c r="H266" s="57">
        <v>4.48</v>
      </c>
      <c r="I266" s="57">
        <v>0.4</v>
      </c>
      <c r="J266" s="57"/>
      <c r="K266" s="128">
        <f>H266*I266</f>
        <v>1.7920000000000003</v>
      </c>
    </row>
    <row r="267" spans="2:11" ht="15">
      <c r="B267" s="57"/>
      <c r="C267" s="57"/>
      <c r="D267" s="57"/>
      <c r="E267" s="107" t="s">
        <v>336</v>
      </c>
      <c r="F267" s="57"/>
      <c r="G267" s="57">
        <v>0.2</v>
      </c>
      <c r="H267" s="57">
        <v>4.48</v>
      </c>
      <c r="I267" s="57"/>
      <c r="J267" s="57"/>
      <c r="K267" s="128">
        <f>G267*H267</f>
        <v>0.8960000000000001</v>
      </c>
    </row>
    <row r="268" spans="2:11" ht="18" customHeight="1">
      <c r="B268" s="129"/>
      <c r="C268" s="129"/>
      <c r="D268" s="129"/>
      <c r="E268" s="129"/>
      <c r="F268" s="57"/>
      <c r="G268" s="57"/>
      <c r="H268" s="57"/>
      <c r="I268" s="57"/>
      <c r="J268" s="57"/>
      <c r="K268" s="130">
        <f>SUM(K265:K267)</f>
        <v>14.784</v>
      </c>
    </row>
    <row r="269" spans="2:11" ht="15.75">
      <c r="B269" s="92" t="s">
        <v>120</v>
      </c>
      <c r="C269" s="132"/>
      <c r="D269" s="132"/>
      <c r="E269" s="93" t="s">
        <v>121</v>
      </c>
      <c r="F269" s="132"/>
      <c r="G269" s="132"/>
      <c r="H269" s="132"/>
      <c r="I269" s="132"/>
      <c r="J269" s="132"/>
      <c r="K269" s="132"/>
    </row>
    <row r="270" spans="1:12" s="298" customFormat="1" ht="15.75">
      <c r="A270" s="39"/>
      <c r="B270" s="55" t="s">
        <v>76</v>
      </c>
      <c r="C270" s="55" t="s">
        <v>20</v>
      </c>
      <c r="D270" s="55" t="s">
        <v>77</v>
      </c>
      <c r="E270" s="56" t="s">
        <v>78</v>
      </c>
      <c r="F270" s="123" t="s">
        <v>55</v>
      </c>
      <c r="G270" s="125" t="s">
        <v>295</v>
      </c>
      <c r="H270" s="125" t="s">
        <v>291</v>
      </c>
      <c r="I270" s="123" t="s">
        <v>292</v>
      </c>
      <c r="J270" s="123" t="s">
        <v>298</v>
      </c>
      <c r="K270" s="123" t="s">
        <v>290</v>
      </c>
      <c r="L270" s="299"/>
    </row>
    <row r="271" spans="2:11" ht="15">
      <c r="B271" s="57"/>
      <c r="C271" s="57"/>
      <c r="D271" s="57"/>
      <c r="E271" s="127" t="s">
        <v>340</v>
      </c>
      <c r="F271" s="57"/>
      <c r="G271" s="128">
        <v>0.2</v>
      </c>
      <c r="H271" s="128">
        <v>4.48</v>
      </c>
      <c r="I271" s="128">
        <v>2.3</v>
      </c>
      <c r="J271" s="128"/>
      <c r="K271" s="130">
        <f>G271*H271*I271</f>
        <v>2.0608</v>
      </c>
    </row>
    <row r="272" spans="1:12" s="298" customFormat="1" ht="15.75">
      <c r="A272" s="39"/>
      <c r="B272" s="55" t="s">
        <v>79</v>
      </c>
      <c r="C272" s="55" t="s">
        <v>20</v>
      </c>
      <c r="D272" s="55" t="s">
        <v>80</v>
      </c>
      <c r="E272" s="56" t="s">
        <v>81</v>
      </c>
      <c r="F272" s="123" t="s">
        <v>55</v>
      </c>
      <c r="G272" s="125" t="s">
        <v>295</v>
      </c>
      <c r="H272" s="125" t="s">
        <v>291</v>
      </c>
      <c r="I272" s="123" t="s">
        <v>292</v>
      </c>
      <c r="J272" s="123" t="s">
        <v>298</v>
      </c>
      <c r="K272" s="123" t="s">
        <v>290</v>
      </c>
      <c r="L272" s="297"/>
    </row>
    <row r="273" spans="2:11" ht="18" customHeight="1">
      <c r="B273" s="129"/>
      <c r="C273" s="129"/>
      <c r="D273" s="129"/>
      <c r="E273" s="127" t="s">
        <v>341</v>
      </c>
      <c r="F273" s="57"/>
      <c r="G273" s="128">
        <v>0.2</v>
      </c>
      <c r="H273" s="128">
        <v>4.48</v>
      </c>
      <c r="I273" s="128">
        <v>2.3</v>
      </c>
      <c r="J273" s="128"/>
      <c r="K273" s="130">
        <f>G273*H273*I273</f>
        <v>2.0608</v>
      </c>
    </row>
    <row r="274" spans="2:11" ht="15">
      <c r="B274" s="118"/>
      <c r="C274" s="118"/>
      <c r="D274" s="118"/>
      <c r="E274" s="118"/>
      <c r="F274" s="99"/>
      <c r="G274" s="99"/>
      <c r="H274" s="99"/>
      <c r="I274" s="99"/>
      <c r="J274" s="99"/>
      <c r="K274" s="99"/>
    </row>
    <row r="275" spans="2:11" ht="15" customHeight="1">
      <c r="B275" s="315" t="s">
        <v>348</v>
      </c>
      <c r="C275" s="315"/>
      <c r="D275" s="315"/>
      <c r="E275" s="315"/>
      <c r="F275" s="315"/>
      <c r="G275" s="315"/>
      <c r="H275" s="315"/>
      <c r="I275" s="315"/>
      <c r="J275" s="315"/>
      <c r="K275" s="315"/>
    </row>
    <row r="276" spans="2:11" ht="15" customHeight="1">
      <c r="B276" s="315"/>
      <c r="C276" s="315"/>
      <c r="D276" s="315"/>
      <c r="E276" s="315"/>
      <c r="F276" s="315"/>
      <c r="G276" s="315"/>
      <c r="H276" s="315"/>
      <c r="I276" s="315"/>
      <c r="J276" s="315"/>
      <c r="K276" s="315"/>
    </row>
    <row r="277" spans="2:11" ht="15">
      <c r="B277" s="118"/>
      <c r="C277" s="118"/>
      <c r="D277" s="118"/>
      <c r="E277" s="118"/>
      <c r="F277" s="99"/>
      <c r="G277" s="99"/>
      <c r="H277" s="99"/>
      <c r="I277" s="99"/>
      <c r="J277" s="99"/>
      <c r="K277" s="99"/>
    </row>
    <row r="278" spans="2:11" ht="15.75">
      <c r="B278" s="91">
        <v>3</v>
      </c>
      <c r="C278" s="91"/>
      <c r="D278" s="91"/>
      <c r="E278" s="103" t="s">
        <v>349</v>
      </c>
      <c r="F278" s="104"/>
      <c r="G278" s="104"/>
      <c r="H278" s="104"/>
      <c r="I278" s="104"/>
      <c r="J278" s="104"/>
      <c r="K278" s="104"/>
    </row>
    <row r="279" spans="2:11" ht="15.75">
      <c r="B279" s="94" t="s">
        <v>46</v>
      </c>
      <c r="C279" s="94"/>
      <c r="D279" s="94"/>
      <c r="E279" s="95" t="s">
        <v>47</v>
      </c>
      <c r="F279" s="55"/>
      <c r="G279" s="55"/>
      <c r="H279" s="55"/>
      <c r="I279" s="55"/>
      <c r="J279" s="55"/>
      <c r="K279" s="55"/>
    </row>
    <row r="280" spans="1:12" s="298" customFormat="1" ht="15.75">
      <c r="A280" s="39"/>
      <c r="B280" s="94" t="s">
        <v>48</v>
      </c>
      <c r="C280" s="94" t="s">
        <v>20</v>
      </c>
      <c r="D280" s="94" t="s">
        <v>49</v>
      </c>
      <c r="E280" s="95" t="s">
        <v>50</v>
      </c>
      <c r="F280" s="94" t="s">
        <v>51</v>
      </c>
      <c r="G280" s="94"/>
      <c r="H280" s="97" t="s">
        <v>291</v>
      </c>
      <c r="I280" s="94"/>
      <c r="J280" s="94"/>
      <c r="K280" s="97" t="s">
        <v>290</v>
      </c>
      <c r="L280" s="297"/>
    </row>
    <row r="281" spans="2:11" ht="15">
      <c r="B281" s="55"/>
      <c r="C281" s="55"/>
      <c r="D281" s="55"/>
      <c r="E281" s="56"/>
      <c r="F281" s="55"/>
      <c r="G281" s="55"/>
      <c r="H281" s="105">
        <v>1.5</v>
      </c>
      <c r="I281" s="55"/>
      <c r="J281" s="55"/>
      <c r="K281" s="105">
        <f>H281</f>
        <v>1.5</v>
      </c>
    </row>
    <row r="282" spans="1:12" s="298" customFormat="1" ht="15.75">
      <c r="A282" s="39"/>
      <c r="B282" s="94" t="s">
        <v>52</v>
      </c>
      <c r="C282" s="94" t="s">
        <v>20</v>
      </c>
      <c r="D282" s="94" t="s">
        <v>53</v>
      </c>
      <c r="E282" s="95" t="s">
        <v>54</v>
      </c>
      <c r="F282" s="94" t="s">
        <v>55</v>
      </c>
      <c r="G282" s="97" t="s">
        <v>295</v>
      </c>
      <c r="H282" s="97" t="s">
        <v>291</v>
      </c>
      <c r="I282" s="94" t="s">
        <v>292</v>
      </c>
      <c r="J282" s="94"/>
      <c r="K282" s="97" t="s">
        <v>290</v>
      </c>
      <c r="L282" s="297"/>
    </row>
    <row r="283" spans="2:11" ht="15">
      <c r="B283" s="55"/>
      <c r="C283" s="55"/>
      <c r="D283" s="55"/>
      <c r="E283" s="56" t="s">
        <v>296</v>
      </c>
      <c r="F283" s="105"/>
      <c r="G283" s="105">
        <v>1.3</v>
      </c>
      <c r="H283" s="105">
        <v>1.5</v>
      </c>
      <c r="I283" s="105">
        <v>0.06</v>
      </c>
      <c r="J283" s="105"/>
      <c r="K283" s="105">
        <f>G283*H283*I283</f>
        <v>0.117</v>
      </c>
    </row>
    <row r="284" spans="2:11" ht="15">
      <c r="B284" s="55"/>
      <c r="C284" s="55"/>
      <c r="D284" s="55"/>
      <c r="E284" s="56" t="s">
        <v>297</v>
      </c>
      <c r="F284" s="55"/>
      <c r="G284" s="105">
        <v>0.2</v>
      </c>
      <c r="H284" s="105">
        <v>1.5</v>
      </c>
      <c r="I284" s="105">
        <v>0.46</v>
      </c>
      <c r="J284" s="105"/>
      <c r="K284" s="105">
        <f>G284*H284*I284</f>
        <v>0.13800000000000004</v>
      </c>
    </row>
    <row r="285" spans="2:11" ht="15">
      <c r="B285" s="56"/>
      <c r="C285" s="56"/>
      <c r="D285" s="56"/>
      <c r="E285" s="56"/>
      <c r="F285" s="55"/>
      <c r="G285" s="55"/>
      <c r="H285" s="55"/>
      <c r="I285" s="55"/>
      <c r="J285" s="55"/>
      <c r="K285" s="106">
        <f>SUM(K283:K284)</f>
        <v>0.25500000000000006</v>
      </c>
    </row>
    <row r="286" spans="1:12" s="298" customFormat="1" ht="31.5">
      <c r="A286" s="39"/>
      <c r="B286" s="94" t="s">
        <v>56</v>
      </c>
      <c r="C286" s="94" t="s">
        <v>20</v>
      </c>
      <c r="D286" s="94" t="s">
        <v>57</v>
      </c>
      <c r="E286" s="101" t="s">
        <v>58</v>
      </c>
      <c r="F286" s="94" t="s">
        <v>55</v>
      </c>
      <c r="G286" s="97" t="s">
        <v>295</v>
      </c>
      <c r="H286" s="97" t="s">
        <v>291</v>
      </c>
      <c r="I286" s="94" t="s">
        <v>292</v>
      </c>
      <c r="J286" s="94" t="s">
        <v>298</v>
      </c>
      <c r="K286" s="97" t="s">
        <v>290</v>
      </c>
      <c r="L286" s="297"/>
    </row>
    <row r="287" spans="2:11" ht="15">
      <c r="B287" s="55"/>
      <c r="C287" s="55"/>
      <c r="D287" s="55"/>
      <c r="E287" s="107" t="s">
        <v>343</v>
      </c>
      <c r="F287" s="55"/>
      <c r="G287" s="55">
        <v>1.3</v>
      </c>
      <c r="H287" s="55">
        <v>0.7</v>
      </c>
      <c r="I287" s="55">
        <v>0.53</v>
      </c>
      <c r="J287" s="55">
        <v>1</v>
      </c>
      <c r="K287" s="105">
        <f>G287*H287*I287*J287</f>
        <v>0.4823</v>
      </c>
    </row>
    <row r="288" spans="2:11" ht="15">
      <c r="B288" s="55"/>
      <c r="C288" s="55"/>
      <c r="D288" s="55"/>
      <c r="E288" s="107" t="s">
        <v>301</v>
      </c>
      <c r="F288" s="55"/>
      <c r="G288" s="55">
        <v>0.4</v>
      </c>
      <c r="H288" s="133">
        <v>1.2</v>
      </c>
      <c r="I288" s="55">
        <v>0.33</v>
      </c>
      <c r="J288" s="55"/>
      <c r="K288" s="105">
        <f>G288*H288*I288</f>
        <v>0.1584</v>
      </c>
    </row>
    <row r="289" spans="2:11" ht="15">
      <c r="B289" s="55"/>
      <c r="C289" s="55"/>
      <c r="D289" s="55"/>
      <c r="E289" s="107"/>
      <c r="F289" s="55"/>
      <c r="G289" s="99"/>
      <c r="H289" s="55"/>
      <c r="I289" s="55"/>
      <c r="J289" s="55"/>
      <c r="K289" s="106">
        <f>SUM(K287:K288)</f>
        <v>0.6407</v>
      </c>
    </row>
    <row r="290" spans="1:12" s="298" customFormat="1" ht="15.75">
      <c r="A290" s="39"/>
      <c r="B290" s="94" t="s">
        <v>62</v>
      </c>
      <c r="C290" s="94" t="s">
        <v>20</v>
      </c>
      <c r="D290" s="94" t="s">
        <v>60</v>
      </c>
      <c r="E290" s="95" t="s">
        <v>61</v>
      </c>
      <c r="F290" s="94" t="s">
        <v>55</v>
      </c>
      <c r="G290" s="97" t="s">
        <v>295</v>
      </c>
      <c r="H290" s="97" t="s">
        <v>291</v>
      </c>
      <c r="I290" s="94" t="s">
        <v>292</v>
      </c>
      <c r="J290" s="94" t="s">
        <v>298</v>
      </c>
      <c r="K290" s="94" t="s">
        <v>290</v>
      </c>
      <c r="L290" s="297"/>
    </row>
    <row r="291" spans="2:11" ht="15">
      <c r="B291" s="55"/>
      <c r="C291" s="55"/>
      <c r="D291" s="55"/>
      <c r="E291" s="107" t="s">
        <v>299</v>
      </c>
      <c r="F291" s="55"/>
      <c r="G291" s="100">
        <v>1.2</v>
      </c>
      <c r="H291" s="105">
        <v>0.6</v>
      </c>
      <c r="I291" s="105">
        <v>0.03</v>
      </c>
      <c r="J291" s="105"/>
      <c r="K291" s="105">
        <f>G291*H291*I291</f>
        <v>0.021599999999999998</v>
      </c>
    </row>
    <row r="292" spans="2:11" ht="15">
      <c r="B292" s="55"/>
      <c r="C292" s="55"/>
      <c r="D292" s="55"/>
      <c r="E292" s="107" t="s">
        <v>301</v>
      </c>
      <c r="F292" s="55"/>
      <c r="G292" s="100">
        <v>0.3</v>
      </c>
      <c r="H292" s="105">
        <v>1.2</v>
      </c>
      <c r="I292" s="105">
        <v>0.03</v>
      </c>
      <c r="J292" s="105"/>
      <c r="K292" s="105">
        <f>G292*H292*I292</f>
        <v>0.010799999999999999</v>
      </c>
    </row>
    <row r="293" spans="2:11" ht="18" customHeight="1">
      <c r="B293" s="56"/>
      <c r="C293" s="56"/>
      <c r="D293" s="56"/>
      <c r="E293" s="56"/>
      <c r="F293" s="55"/>
      <c r="G293" s="55"/>
      <c r="H293" s="55"/>
      <c r="I293" s="55"/>
      <c r="J293" s="55"/>
      <c r="K293" s="106">
        <f>SUM(K291:K292)</f>
        <v>0.0324</v>
      </c>
    </row>
    <row r="294" spans="1:12" s="298" customFormat="1" ht="47.25">
      <c r="A294" s="39"/>
      <c r="B294" s="108" t="s">
        <v>302</v>
      </c>
      <c r="C294" s="108" t="s">
        <v>20</v>
      </c>
      <c r="D294" s="108" t="s">
        <v>63</v>
      </c>
      <c r="E294" s="109" t="s">
        <v>64</v>
      </c>
      <c r="F294" s="108" t="s">
        <v>55</v>
      </c>
      <c r="G294" s="110" t="s">
        <v>295</v>
      </c>
      <c r="H294" s="110" t="s">
        <v>291</v>
      </c>
      <c r="I294" s="108" t="s">
        <v>292</v>
      </c>
      <c r="J294" s="108" t="s">
        <v>303</v>
      </c>
      <c r="K294" s="108" t="s">
        <v>290</v>
      </c>
      <c r="L294" s="297"/>
    </row>
    <row r="295" spans="2:11" ht="15">
      <c r="B295" s="111"/>
      <c r="C295" s="111"/>
      <c r="D295" s="111"/>
      <c r="E295" s="112" t="s">
        <v>304</v>
      </c>
      <c r="F295" s="111"/>
      <c r="G295" s="113">
        <v>2.9</v>
      </c>
      <c r="H295" s="113">
        <v>1.5</v>
      </c>
      <c r="I295" s="113">
        <v>0.06</v>
      </c>
      <c r="J295" s="111"/>
      <c r="K295" s="113">
        <f>G295*H295*I295</f>
        <v>0.26099999999999995</v>
      </c>
    </row>
    <row r="296" spans="2:11" ht="15">
      <c r="B296" s="111"/>
      <c r="C296" s="111"/>
      <c r="D296" s="111"/>
      <c r="E296" s="112" t="s">
        <v>305</v>
      </c>
      <c r="F296" s="111"/>
      <c r="G296" s="113">
        <v>0.2</v>
      </c>
      <c r="H296" s="113">
        <v>1.5</v>
      </c>
      <c r="I296" s="113">
        <v>0.46</v>
      </c>
      <c r="J296" s="111"/>
      <c r="K296" s="113">
        <f>G296*H296*I296</f>
        <v>0.13800000000000004</v>
      </c>
    </row>
    <row r="297" spans="2:11" ht="15">
      <c r="B297" s="57"/>
      <c r="C297" s="57"/>
      <c r="D297" s="57"/>
      <c r="E297" s="127" t="s">
        <v>306</v>
      </c>
      <c r="F297" s="57"/>
      <c r="G297" s="128">
        <v>1.3</v>
      </c>
      <c r="H297" s="128">
        <v>0.7</v>
      </c>
      <c r="I297" s="128">
        <v>0.53</v>
      </c>
      <c r="J297" s="57">
        <v>1</v>
      </c>
      <c r="K297" s="128">
        <f>G297*H297*I297*J297</f>
        <v>0.4823</v>
      </c>
    </row>
    <row r="298" spans="2:11" ht="15">
      <c r="B298" s="57"/>
      <c r="C298" s="57"/>
      <c r="D298" s="57"/>
      <c r="E298" s="127" t="s">
        <v>308</v>
      </c>
      <c r="F298" s="57"/>
      <c r="G298" s="57">
        <v>0.4</v>
      </c>
      <c r="H298" s="57">
        <v>1.2</v>
      </c>
      <c r="I298" s="57">
        <v>0.33</v>
      </c>
      <c r="J298" s="57"/>
      <c r="K298" s="128">
        <f>G298*H298*I298</f>
        <v>0.1584</v>
      </c>
    </row>
    <row r="299" spans="2:11" ht="15">
      <c r="B299" s="57"/>
      <c r="C299" s="57"/>
      <c r="D299" s="57"/>
      <c r="E299" s="127" t="s">
        <v>309</v>
      </c>
      <c r="F299" s="57"/>
      <c r="G299" s="128">
        <f>3.14*0.125^2</f>
        <v>0.0490625</v>
      </c>
      <c r="H299" s="57">
        <v>3.5</v>
      </c>
      <c r="I299" s="57"/>
      <c r="J299" s="57">
        <v>2</v>
      </c>
      <c r="K299" s="128">
        <f>G299*H299*J299</f>
        <v>0.3434375</v>
      </c>
    </row>
    <row r="300" spans="2:11" ht="18.75" customHeight="1">
      <c r="B300" s="56"/>
      <c r="C300" s="56"/>
      <c r="D300" s="56"/>
      <c r="E300" s="56"/>
      <c r="F300" s="55"/>
      <c r="G300" s="55"/>
      <c r="H300" s="55"/>
      <c r="I300" s="55"/>
      <c r="J300" s="55"/>
      <c r="K300" s="106">
        <f>SUM(K295:K299)</f>
        <v>1.3831375000000001</v>
      </c>
    </row>
    <row r="301" spans="2:11" ht="15.75">
      <c r="B301" s="91" t="s">
        <v>65</v>
      </c>
      <c r="C301" s="91"/>
      <c r="D301" s="104"/>
      <c r="E301" s="103" t="s">
        <v>66</v>
      </c>
      <c r="F301" s="104"/>
      <c r="G301" s="104"/>
      <c r="H301" s="104"/>
      <c r="I301" s="104"/>
      <c r="J301" s="104"/>
      <c r="K301" s="104"/>
    </row>
    <row r="302" spans="1:12" s="298" customFormat="1" ht="15.75">
      <c r="A302" s="39"/>
      <c r="B302" s="94" t="s">
        <v>67</v>
      </c>
      <c r="C302" s="94" t="s">
        <v>20</v>
      </c>
      <c r="D302" s="114" t="s">
        <v>68</v>
      </c>
      <c r="E302" s="95" t="s">
        <v>69</v>
      </c>
      <c r="F302" s="94" t="s">
        <v>51</v>
      </c>
      <c r="G302" s="96" t="s">
        <v>9</v>
      </c>
      <c r="H302" s="97" t="s">
        <v>291</v>
      </c>
      <c r="I302" s="96"/>
      <c r="J302" s="96"/>
      <c r="K302" s="96" t="s">
        <v>290</v>
      </c>
      <c r="L302" s="297"/>
    </row>
    <row r="303" spans="2:11" ht="15">
      <c r="B303" s="55"/>
      <c r="C303" s="55"/>
      <c r="D303" s="105"/>
      <c r="E303" s="56"/>
      <c r="F303" s="55"/>
      <c r="G303" s="100">
        <v>2</v>
      </c>
      <c r="H303" s="98">
        <v>3.5</v>
      </c>
      <c r="I303" s="100"/>
      <c r="J303" s="100"/>
      <c r="K303" s="100">
        <f>G303*H303</f>
        <v>7</v>
      </c>
    </row>
    <row r="304" spans="1:12" s="298" customFormat="1" ht="15.75">
      <c r="A304" s="39"/>
      <c r="B304" s="94" t="s">
        <v>70</v>
      </c>
      <c r="C304" s="94" t="s">
        <v>20</v>
      </c>
      <c r="D304" s="94" t="s">
        <v>71</v>
      </c>
      <c r="E304" s="95" t="s">
        <v>72</v>
      </c>
      <c r="F304" s="94" t="s">
        <v>73</v>
      </c>
      <c r="G304" s="96" t="s">
        <v>9</v>
      </c>
      <c r="H304" s="96" t="s">
        <v>291</v>
      </c>
      <c r="I304" s="96" t="s">
        <v>310</v>
      </c>
      <c r="J304" s="96" t="s">
        <v>298</v>
      </c>
      <c r="K304" s="96" t="s">
        <v>290</v>
      </c>
      <c r="L304" s="297"/>
    </row>
    <row r="305" spans="2:11" ht="15">
      <c r="B305" s="55"/>
      <c r="C305" s="55"/>
      <c r="D305" s="55"/>
      <c r="E305" s="56" t="s">
        <v>311</v>
      </c>
      <c r="F305" s="55"/>
      <c r="G305" s="100">
        <v>4</v>
      </c>
      <c r="H305" s="100">
        <v>3.7</v>
      </c>
      <c r="I305" s="115">
        <v>0.963</v>
      </c>
      <c r="J305" s="100">
        <v>1</v>
      </c>
      <c r="K305" s="100">
        <f>G305*H305*I305*J305</f>
        <v>14.2524</v>
      </c>
    </row>
    <row r="306" spans="2:11" ht="15">
      <c r="B306" s="55"/>
      <c r="C306" s="55"/>
      <c r="D306" s="55"/>
      <c r="E306" s="56" t="s">
        <v>312</v>
      </c>
      <c r="F306" s="55"/>
      <c r="G306" s="100">
        <v>4</v>
      </c>
      <c r="H306" s="100">
        <v>3.7</v>
      </c>
      <c r="I306" s="115">
        <v>0.617</v>
      </c>
      <c r="J306" s="100">
        <v>1</v>
      </c>
      <c r="K306" s="100">
        <f>G306*H306*I306*J306</f>
        <v>9.1316</v>
      </c>
    </row>
    <row r="307" spans="2:11" ht="15">
      <c r="B307" s="55"/>
      <c r="C307" s="55"/>
      <c r="D307" s="55"/>
      <c r="E307" s="56" t="s">
        <v>313</v>
      </c>
      <c r="F307" s="55"/>
      <c r="G307" s="119">
        <f>3.7/0.15</f>
        <v>24.666666666666668</v>
      </c>
      <c r="H307" s="100">
        <v>0.66</v>
      </c>
      <c r="I307" s="115">
        <v>0.245</v>
      </c>
      <c r="J307" s="100">
        <v>2</v>
      </c>
      <c r="K307" s="100">
        <f>G307*H307*I307*J307</f>
        <v>7.977200000000001</v>
      </c>
    </row>
    <row r="308" spans="2:11" ht="18" customHeight="1">
      <c r="B308" s="56"/>
      <c r="C308" s="56"/>
      <c r="D308" s="56"/>
      <c r="E308" s="56"/>
      <c r="F308" s="55"/>
      <c r="G308" s="55"/>
      <c r="H308" s="55"/>
      <c r="I308" s="55"/>
      <c r="J308" s="55"/>
      <c r="K308" s="106">
        <f>SUM(K305:K307)</f>
        <v>31.3612</v>
      </c>
    </row>
    <row r="309" spans="2:11" ht="15.75">
      <c r="B309" s="91" t="s">
        <v>74</v>
      </c>
      <c r="C309" s="104"/>
      <c r="D309" s="104"/>
      <c r="E309" s="103" t="s">
        <v>314</v>
      </c>
      <c r="F309" s="104"/>
      <c r="G309" s="104"/>
      <c r="H309" s="104"/>
      <c r="I309" s="104"/>
      <c r="J309" s="104"/>
      <c r="K309" s="104"/>
    </row>
    <row r="310" spans="1:12" s="298" customFormat="1" ht="15.75">
      <c r="A310" s="39"/>
      <c r="B310" s="94" t="s">
        <v>76</v>
      </c>
      <c r="C310" s="94" t="s">
        <v>20</v>
      </c>
      <c r="D310" s="94" t="s">
        <v>77</v>
      </c>
      <c r="E310" s="95" t="s">
        <v>78</v>
      </c>
      <c r="F310" s="94" t="s">
        <v>55</v>
      </c>
      <c r="G310" s="97" t="s">
        <v>295</v>
      </c>
      <c r="H310" s="97" t="s">
        <v>291</v>
      </c>
      <c r="I310" s="96" t="s">
        <v>292</v>
      </c>
      <c r="J310" s="96" t="s">
        <v>298</v>
      </c>
      <c r="K310" s="96" t="s">
        <v>290</v>
      </c>
      <c r="L310" s="297"/>
    </row>
    <row r="311" spans="2:11" ht="15">
      <c r="B311" s="55"/>
      <c r="C311" s="55"/>
      <c r="D311" s="55"/>
      <c r="E311" s="107" t="s">
        <v>344</v>
      </c>
      <c r="F311" s="55"/>
      <c r="G311" s="55">
        <v>1.2</v>
      </c>
      <c r="H311" s="55">
        <v>0.6</v>
      </c>
      <c r="I311" s="55">
        <v>0.5</v>
      </c>
      <c r="J311" s="55">
        <v>1</v>
      </c>
      <c r="K311" s="105">
        <f>G311*H311*I311*J311</f>
        <v>0.36</v>
      </c>
    </row>
    <row r="312" spans="2:11" ht="15">
      <c r="B312" s="55"/>
      <c r="C312" s="55"/>
      <c r="D312" s="55"/>
      <c r="E312" s="107" t="s">
        <v>301</v>
      </c>
      <c r="F312" s="55"/>
      <c r="G312" s="55">
        <v>0.3</v>
      </c>
      <c r="H312" s="55">
        <v>1.2</v>
      </c>
      <c r="I312" s="55">
        <v>0.3</v>
      </c>
      <c r="J312" s="55"/>
      <c r="K312" s="105">
        <f>G312*H312*I312</f>
        <v>0.108</v>
      </c>
    </row>
    <row r="313" spans="2:11" ht="18" customHeight="1">
      <c r="B313" s="56"/>
      <c r="C313" s="56"/>
      <c r="D313" s="56"/>
      <c r="E313" s="56"/>
      <c r="F313" s="55"/>
      <c r="G313" s="55"/>
      <c r="H313" s="55"/>
      <c r="I313" s="55"/>
      <c r="J313" s="55"/>
      <c r="K313" s="106">
        <f>SUM(K311:K312)</f>
        <v>0.46799999999999997</v>
      </c>
    </row>
    <row r="314" spans="1:12" s="298" customFormat="1" ht="15.75">
      <c r="A314" s="39"/>
      <c r="B314" s="94" t="s">
        <v>79</v>
      </c>
      <c r="C314" s="94" t="s">
        <v>20</v>
      </c>
      <c r="D314" s="94" t="s">
        <v>80</v>
      </c>
      <c r="E314" s="95" t="s">
        <v>81</v>
      </c>
      <c r="F314" s="94" t="s">
        <v>55</v>
      </c>
      <c r="G314" s="97" t="s">
        <v>295</v>
      </c>
      <c r="H314" s="97" t="s">
        <v>291</v>
      </c>
      <c r="I314" s="96" t="s">
        <v>292</v>
      </c>
      <c r="J314" s="96" t="s">
        <v>298</v>
      </c>
      <c r="K314" s="96" t="s">
        <v>290</v>
      </c>
      <c r="L314" s="297"/>
    </row>
    <row r="315" spans="2:11" ht="15">
      <c r="B315" s="116"/>
      <c r="C315" s="116"/>
      <c r="D315" s="116"/>
      <c r="E315" s="107" t="s">
        <v>344</v>
      </c>
      <c r="F315" s="55"/>
      <c r="G315" s="55">
        <v>1.2</v>
      </c>
      <c r="H315" s="55">
        <v>0.6</v>
      </c>
      <c r="I315" s="55">
        <v>0.5</v>
      </c>
      <c r="J315" s="55">
        <v>1</v>
      </c>
      <c r="K315" s="105">
        <f>G315*H315*I315*J315</f>
        <v>0.36</v>
      </c>
    </row>
    <row r="316" spans="2:11" ht="15">
      <c r="B316" s="116"/>
      <c r="C316" s="116"/>
      <c r="D316" s="116"/>
      <c r="E316" s="107" t="s">
        <v>301</v>
      </c>
      <c r="F316" s="55"/>
      <c r="G316" s="55">
        <v>0.3</v>
      </c>
      <c r="H316" s="55">
        <v>1.2</v>
      </c>
      <c r="I316" s="55">
        <v>0.3</v>
      </c>
      <c r="J316" s="55"/>
      <c r="K316" s="105">
        <f>G316*H316*I316</f>
        <v>0.108</v>
      </c>
    </row>
    <row r="317" spans="2:11" ht="18" customHeight="1">
      <c r="B317" s="117"/>
      <c r="C317" s="117"/>
      <c r="D317" s="117"/>
      <c r="E317" s="117"/>
      <c r="F317" s="105"/>
      <c r="G317" s="105"/>
      <c r="H317" s="105"/>
      <c r="I317" s="105"/>
      <c r="J317" s="55"/>
      <c r="K317" s="106">
        <f>SUM(K315:K316)</f>
        <v>0.46799999999999997</v>
      </c>
    </row>
    <row r="318" spans="1:14" s="298" customFormat="1" ht="15.75">
      <c r="A318" s="39"/>
      <c r="B318" s="94" t="s">
        <v>82</v>
      </c>
      <c r="C318" s="94" t="s">
        <v>20</v>
      </c>
      <c r="D318" s="94" t="s">
        <v>71</v>
      </c>
      <c r="E318" s="95" t="s">
        <v>72</v>
      </c>
      <c r="F318" s="94" t="s">
        <v>73</v>
      </c>
      <c r="G318" s="96" t="s">
        <v>9</v>
      </c>
      <c r="H318" s="96" t="s">
        <v>291</v>
      </c>
      <c r="I318" s="96" t="s">
        <v>310</v>
      </c>
      <c r="J318" s="96" t="s">
        <v>298</v>
      </c>
      <c r="K318" s="96" t="s">
        <v>290</v>
      </c>
      <c r="L318" s="297"/>
      <c r="M318" s="300"/>
      <c r="N318" s="300"/>
    </row>
    <row r="319" spans="2:14" ht="15">
      <c r="B319" s="55"/>
      <c r="C319" s="55"/>
      <c r="D319" s="55"/>
      <c r="E319" s="56" t="s">
        <v>350</v>
      </c>
      <c r="F319" s="55"/>
      <c r="G319" s="100">
        <f>0.6/0.15</f>
        <v>4</v>
      </c>
      <c r="H319" s="100">
        <v>2.3</v>
      </c>
      <c r="I319" s="115">
        <v>0.395</v>
      </c>
      <c r="J319" s="99">
        <v>1</v>
      </c>
      <c r="K319" s="100">
        <f>G319*H319*I319*J319</f>
        <v>3.634</v>
      </c>
      <c r="M319" s="301"/>
      <c r="N319" s="301"/>
    </row>
    <row r="320" spans="2:14" ht="15">
      <c r="B320" s="55"/>
      <c r="C320" s="55"/>
      <c r="D320" s="55"/>
      <c r="E320" s="56" t="s">
        <v>350</v>
      </c>
      <c r="F320" s="55"/>
      <c r="G320" s="100">
        <f>1.2/0.15</f>
        <v>8</v>
      </c>
      <c r="H320" s="100">
        <v>1.1</v>
      </c>
      <c r="I320" s="115">
        <v>0.395</v>
      </c>
      <c r="J320" s="99">
        <v>1</v>
      </c>
      <c r="K320" s="100">
        <f>G320*H320*I320*J320</f>
        <v>3.4760000000000004</v>
      </c>
      <c r="M320" s="301"/>
      <c r="N320" s="301"/>
    </row>
    <row r="321" spans="2:11" ht="15">
      <c r="B321" s="55"/>
      <c r="C321" s="55"/>
      <c r="D321" s="55"/>
      <c r="E321" s="56" t="s">
        <v>347</v>
      </c>
      <c r="F321" s="55"/>
      <c r="G321" s="100">
        <v>4</v>
      </c>
      <c r="H321" s="100">
        <v>1.5</v>
      </c>
      <c r="I321" s="115">
        <v>0.963</v>
      </c>
      <c r="J321" s="99"/>
      <c r="K321" s="100">
        <f>G321*H321*I321</f>
        <v>5.778</v>
      </c>
    </row>
    <row r="322" spans="2:11" ht="18" customHeight="1">
      <c r="B322" s="56"/>
      <c r="C322" s="56"/>
      <c r="D322" s="56"/>
      <c r="E322" s="56" t="s">
        <v>318</v>
      </c>
      <c r="F322" s="55"/>
      <c r="G322" s="134">
        <f>1.5/0.15</f>
        <v>10</v>
      </c>
      <c r="H322" s="55">
        <f>0.24+0.24+0.24+0.24+0.06</f>
        <v>1.02</v>
      </c>
      <c r="I322" s="115">
        <v>0.245</v>
      </c>
      <c r="J322" s="55"/>
      <c r="K322" s="100">
        <f>G322*H322*I322</f>
        <v>2.4989999999999997</v>
      </c>
    </row>
    <row r="323" spans="2:11" ht="18" customHeight="1">
      <c r="B323" s="56"/>
      <c r="C323" s="56"/>
      <c r="D323" s="56"/>
      <c r="E323" s="56"/>
      <c r="F323" s="55"/>
      <c r="G323" s="55"/>
      <c r="H323" s="55"/>
      <c r="I323" s="115"/>
      <c r="J323" s="55"/>
      <c r="K323" s="106">
        <f>SUM(K319:K322)</f>
        <v>15.387</v>
      </c>
    </row>
    <row r="324" spans="1:12" s="298" customFormat="1" ht="15.75">
      <c r="A324" s="39"/>
      <c r="B324" s="94" t="s">
        <v>83</v>
      </c>
      <c r="C324" s="94" t="s">
        <v>20</v>
      </c>
      <c r="D324" s="94" t="s">
        <v>84</v>
      </c>
      <c r="E324" s="95" t="s">
        <v>85</v>
      </c>
      <c r="F324" s="94" t="s">
        <v>23</v>
      </c>
      <c r="G324" s="96"/>
      <c r="H324" s="97" t="s">
        <v>291</v>
      </c>
      <c r="I324" s="96" t="s">
        <v>292</v>
      </c>
      <c r="J324" s="96" t="s">
        <v>298</v>
      </c>
      <c r="K324" s="96" t="s">
        <v>290</v>
      </c>
      <c r="L324" s="297"/>
    </row>
    <row r="325" spans="2:11" ht="15">
      <c r="B325" s="55"/>
      <c r="C325" s="55"/>
      <c r="D325" s="55"/>
      <c r="E325" s="56" t="s">
        <v>319</v>
      </c>
      <c r="F325" s="55"/>
      <c r="G325" s="99"/>
      <c r="H325" s="98">
        <f>1.2+1.2+0.9</f>
        <v>3.3</v>
      </c>
      <c r="I325" s="99">
        <v>0.5</v>
      </c>
      <c r="J325" s="99">
        <v>1</v>
      </c>
      <c r="K325" s="100">
        <f>H325*I325*J325</f>
        <v>1.65</v>
      </c>
    </row>
    <row r="326" spans="2:11" ht="15">
      <c r="B326" s="55"/>
      <c r="C326" s="55"/>
      <c r="D326" s="55"/>
      <c r="E326" s="56" t="s">
        <v>320</v>
      </c>
      <c r="F326" s="55"/>
      <c r="G326" s="99"/>
      <c r="H326" s="100">
        <v>2.4</v>
      </c>
      <c r="I326" s="100">
        <v>0.3</v>
      </c>
      <c r="J326" s="99"/>
      <c r="K326" s="100">
        <f>H326*I326</f>
        <v>0.72</v>
      </c>
    </row>
    <row r="327" spans="2:11" ht="15">
      <c r="B327" s="55"/>
      <c r="C327" s="55"/>
      <c r="D327" s="55"/>
      <c r="E327" s="56"/>
      <c r="F327" s="55"/>
      <c r="G327" s="99"/>
      <c r="H327" s="100"/>
      <c r="I327" s="100"/>
      <c r="J327" s="55"/>
      <c r="K327" s="106">
        <f>SUM(K325:K326)</f>
        <v>2.37</v>
      </c>
    </row>
    <row r="328" spans="2:11" ht="15.75">
      <c r="B328" s="91" t="s">
        <v>86</v>
      </c>
      <c r="C328" s="104"/>
      <c r="D328" s="104"/>
      <c r="E328" s="103" t="s">
        <v>321</v>
      </c>
      <c r="F328" s="104"/>
      <c r="G328" s="104"/>
      <c r="H328" s="104"/>
      <c r="I328" s="104"/>
      <c r="J328" s="104"/>
      <c r="K328" s="104"/>
    </row>
    <row r="329" spans="1:12" s="298" customFormat="1" ht="15.75">
      <c r="A329" s="39"/>
      <c r="B329" s="94" t="s">
        <v>88</v>
      </c>
      <c r="C329" s="94" t="s">
        <v>20</v>
      </c>
      <c r="D329" s="94" t="s">
        <v>77</v>
      </c>
      <c r="E329" s="95" t="s">
        <v>78</v>
      </c>
      <c r="F329" s="94" t="s">
        <v>55</v>
      </c>
      <c r="G329" s="96" t="s">
        <v>295</v>
      </c>
      <c r="H329" s="97" t="s">
        <v>291</v>
      </c>
      <c r="I329" s="96" t="s">
        <v>292</v>
      </c>
      <c r="J329" s="96" t="s">
        <v>298</v>
      </c>
      <c r="K329" s="96" t="s">
        <v>290</v>
      </c>
      <c r="L329" s="297"/>
    </row>
    <row r="330" spans="2:11" ht="15">
      <c r="B330" s="55"/>
      <c r="C330" s="55"/>
      <c r="D330" s="55"/>
      <c r="E330" s="56" t="s">
        <v>322</v>
      </c>
      <c r="F330" s="55"/>
      <c r="G330" s="100">
        <v>0.25</v>
      </c>
      <c r="H330" s="100">
        <v>0.53</v>
      </c>
      <c r="I330" s="100">
        <v>1.4</v>
      </c>
      <c r="J330" s="100">
        <v>1</v>
      </c>
      <c r="K330" s="100">
        <f>G330*H330*I330*J330/2</f>
        <v>0.09275</v>
      </c>
    </row>
    <row r="331" spans="2:11" ht="15">
      <c r="B331" s="55"/>
      <c r="C331" s="55"/>
      <c r="D331" s="55"/>
      <c r="E331" s="118" t="s">
        <v>323</v>
      </c>
      <c r="F331" s="55"/>
      <c r="G331" s="100">
        <v>0.3</v>
      </c>
      <c r="H331" s="99">
        <v>0.25</v>
      </c>
      <c r="I331" s="100">
        <f>2.1+0.4</f>
        <v>2.5</v>
      </c>
      <c r="J331" s="100">
        <v>1</v>
      </c>
      <c r="K331" s="100">
        <f>G331*H331*I331*J331</f>
        <v>0.1875</v>
      </c>
    </row>
    <row r="332" spans="2:11" ht="18" customHeight="1">
      <c r="B332" s="56"/>
      <c r="C332" s="56"/>
      <c r="D332" s="56"/>
      <c r="E332" s="56"/>
      <c r="F332" s="55"/>
      <c r="G332" s="55"/>
      <c r="H332" s="55"/>
      <c r="I332" s="55"/>
      <c r="J332" s="55"/>
      <c r="K332" s="106">
        <f>SUM(K330:K331)</f>
        <v>0.28025</v>
      </c>
    </row>
    <row r="333" spans="1:12" s="298" customFormat="1" ht="15.75">
      <c r="A333" s="39"/>
      <c r="B333" s="94" t="s">
        <v>89</v>
      </c>
      <c r="C333" s="94" t="s">
        <v>20</v>
      </c>
      <c r="D333" s="94" t="s">
        <v>90</v>
      </c>
      <c r="E333" s="95" t="s">
        <v>91</v>
      </c>
      <c r="F333" s="94" t="s">
        <v>55</v>
      </c>
      <c r="G333" s="96" t="s">
        <v>295</v>
      </c>
      <c r="H333" s="97" t="s">
        <v>291</v>
      </c>
      <c r="I333" s="96" t="s">
        <v>292</v>
      </c>
      <c r="J333" s="96" t="s">
        <v>298</v>
      </c>
      <c r="K333" s="102" t="s">
        <v>290</v>
      </c>
      <c r="L333" s="297"/>
    </row>
    <row r="334" spans="2:11" ht="15">
      <c r="B334" s="55"/>
      <c r="C334" s="55"/>
      <c r="D334" s="55"/>
      <c r="E334" s="56" t="s">
        <v>322</v>
      </c>
      <c r="F334" s="55"/>
      <c r="G334" s="100">
        <v>0.25</v>
      </c>
      <c r="H334" s="100">
        <v>0.53</v>
      </c>
      <c r="I334" s="100">
        <v>1.4</v>
      </c>
      <c r="J334" s="100">
        <v>1</v>
      </c>
      <c r="K334" s="100">
        <f>G334*H334*I334*J334/2</f>
        <v>0.09275</v>
      </c>
    </row>
    <row r="335" spans="2:11" ht="15">
      <c r="B335" s="55"/>
      <c r="C335" s="55"/>
      <c r="D335" s="55"/>
      <c r="E335" s="118" t="s">
        <v>323</v>
      </c>
      <c r="F335" s="55"/>
      <c r="G335" s="100">
        <v>0.3</v>
      </c>
      <c r="H335" s="99">
        <v>0.25</v>
      </c>
      <c r="I335" s="100">
        <f>2.1+0.4</f>
        <v>2.5</v>
      </c>
      <c r="J335" s="100">
        <v>1</v>
      </c>
      <c r="K335" s="100">
        <f>G335*H335*I335*J335</f>
        <v>0.1875</v>
      </c>
    </row>
    <row r="336" spans="2:11" ht="18" customHeight="1">
      <c r="B336" s="56"/>
      <c r="C336" s="56"/>
      <c r="D336" s="56"/>
      <c r="E336" s="56"/>
      <c r="F336" s="55"/>
      <c r="G336" s="55"/>
      <c r="H336" s="55"/>
      <c r="I336" s="55"/>
      <c r="J336" s="55"/>
      <c r="K336" s="106">
        <f>SUM(K334:K335)</f>
        <v>0.28025</v>
      </c>
    </row>
    <row r="337" spans="1:12" s="298" customFormat="1" ht="15.75">
      <c r="A337" s="39"/>
      <c r="B337" s="94" t="s">
        <v>92</v>
      </c>
      <c r="C337" s="94" t="s">
        <v>20</v>
      </c>
      <c r="D337" s="94" t="s">
        <v>71</v>
      </c>
      <c r="E337" s="95" t="s">
        <v>72</v>
      </c>
      <c r="F337" s="94" t="s">
        <v>73</v>
      </c>
      <c r="G337" s="96" t="s">
        <v>9</v>
      </c>
      <c r="H337" s="96" t="s">
        <v>291</v>
      </c>
      <c r="I337" s="96" t="s">
        <v>310</v>
      </c>
      <c r="J337" s="96" t="s">
        <v>298</v>
      </c>
      <c r="K337" s="96" t="s">
        <v>290</v>
      </c>
      <c r="L337" s="297"/>
    </row>
    <row r="338" spans="2:11" ht="15">
      <c r="B338" s="55"/>
      <c r="C338" s="55"/>
      <c r="D338" s="55"/>
      <c r="E338" s="56" t="s">
        <v>324</v>
      </c>
      <c r="F338" s="55"/>
      <c r="G338" s="100">
        <v>2</v>
      </c>
      <c r="H338" s="100">
        <v>2.1</v>
      </c>
      <c r="I338" s="115">
        <v>0.617</v>
      </c>
      <c r="J338" s="100">
        <v>1</v>
      </c>
      <c r="K338" s="100">
        <f aca="true" t="shared" si="2" ref="K338:K343">G338*H338*I338*J338</f>
        <v>2.5914</v>
      </c>
    </row>
    <row r="339" spans="2:11" ht="15">
      <c r="B339" s="55"/>
      <c r="C339" s="55"/>
      <c r="D339" s="55"/>
      <c r="E339" s="56" t="s">
        <v>325</v>
      </c>
      <c r="F339" s="55"/>
      <c r="G339" s="100">
        <v>2</v>
      </c>
      <c r="H339" s="100">
        <v>2.4</v>
      </c>
      <c r="I339" s="115">
        <v>0.617</v>
      </c>
      <c r="J339" s="100">
        <v>1</v>
      </c>
      <c r="K339" s="100">
        <f t="shared" si="2"/>
        <v>2.9616</v>
      </c>
    </row>
    <row r="340" spans="2:11" ht="15">
      <c r="B340" s="55"/>
      <c r="C340" s="55"/>
      <c r="D340" s="55"/>
      <c r="E340" s="56" t="s">
        <v>326</v>
      </c>
      <c r="F340" s="55"/>
      <c r="G340" s="99">
        <v>2</v>
      </c>
      <c r="H340" s="99">
        <f>2.1</f>
        <v>2.1</v>
      </c>
      <c r="I340" s="99">
        <v>1.578</v>
      </c>
      <c r="J340" s="99">
        <v>1</v>
      </c>
      <c r="K340" s="100">
        <f t="shared" si="2"/>
        <v>6.6276</v>
      </c>
    </row>
    <row r="341" spans="2:11" ht="15">
      <c r="B341" s="55"/>
      <c r="C341" s="55"/>
      <c r="D341" s="55"/>
      <c r="E341" s="56" t="s">
        <v>327</v>
      </c>
      <c r="F341" s="55"/>
      <c r="G341" s="99">
        <v>3</v>
      </c>
      <c r="H341" s="99">
        <v>2.1</v>
      </c>
      <c r="I341" s="99">
        <v>0.963</v>
      </c>
      <c r="J341" s="99">
        <v>1</v>
      </c>
      <c r="K341" s="100">
        <f t="shared" si="2"/>
        <v>6.0669</v>
      </c>
    </row>
    <row r="342" spans="2:11" ht="15">
      <c r="B342" s="55"/>
      <c r="C342" s="55"/>
      <c r="D342" s="55"/>
      <c r="E342" s="56" t="s">
        <v>328</v>
      </c>
      <c r="F342" s="55"/>
      <c r="G342" s="99">
        <v>4</v>
      </c>
      <c r="H342" s="99">
        <v>0.5</v>
      </c>
      <c r="I342" s="99">
        <v>0.395</v>
      </c>
      <c r="J342" s="99">
        <v>1</v>
      </c>
      <c r="K342" s="100">
        <f t="shared" si="2"/>
        <v>0.79</v>
      </c>
    </row>
    <row r="343" spans="2:11" ht="15">
      <c r="B343" s="55"/>
      <c r="C343" s="55"/>
      <c r="D343" s="55"/>
      <c r="E343" s="56" t="s">
        <v>329</v>
      </c>
      <c r="F343" s="55"/>
      <c r="G343" s="119">
        <f>(2.1+0.4)/0.15</f>
        <v>16.666666666666668</v>
      </c>
      <c r="H343" s="99">
        <f>0.5+0.6-0.12+0.06</f>
        <v>1.04</v>
      </c>
      <c r="I343" s="99">
        <v>0.245</v>
      </c>
      <c r="J343" s="99">
        <v>1</v>
      </c>
      <c r="K343" s="100">
        <f t="shared" si="2"/>
        <v>4.246666666666667</v>
      </c>
    </row>
    <row r="344" spans="2:11" ht="18" customHeight="1">
      <c r="B344" s="56"/>
      <c r="C344" s="56"/>
      <c r="D344" s="56"/>
      <c r="E344" s="56"/>
      <c r="F344" s="55"/>
      <c r="G344" s="55"/>
      <c r="H344" s="55"/>
      <c r="I344" s="55"/>
      <c r="J344" s="55"/>
      <c r="K344" s="106">
        <f>SUM(K338:K343)</f>
        <v>23.284166666666668</v>
      </c>
    </row>
    <row r="345" spans="1:12" s="298" customFormat="1" ht="15.75">
      <c r="A345" s="39"/>
      <c r="B345" s="94" t="s">
        <v>93</v>
      </c>
      <c r="C345" s="94" t="s">
        <v>20</v>
      </c>
      <c r="D345" s="94" t="s">
        <v>94</v>
      </c>
      <c r="E345" s="95" t="s">
        <v>95</v>
      </c>
      <c r="F345" s="94" t="s">
        <v>23</v>
      </c>
      <c r="G345" s="94" t="s">
        <v>295</v>
      </c>
      <c r="H345" s="97" t="s">
        <v>291</v>
      </c>
      <c r="I345" s="94" t="s">
        <v>292</v>
      </c>
      <c r="J345" s="94" t="s">
        <v>298</v>
      </c>
      <c r="K345" s="114" t="s">
        <v>290</v>
      </c>
      <c r="L345" s="297"/>
    </row>
    <row r="346" spans="2:11" ht="15">
      <c r="B346" s="55"/>
      <c r="C346" s="55"/>
      <c r="D346" s="55"/>
      <c r="E346" s="56" t="s">
        <v>323</v>
      </c>
      <c r="F346" s="55"/>
      <c r="G346" s="55">
        <v>0.25</v>
      </c>
      <c r="H346" s="55"/>
      <c r="I346" s="55">
        <f>2.1+0.4</f>
        <v>2.5</v>
      </c>
      <c r="J346" s="55">
        <v>2</v>
      </c>
      <c r="K346" s="105">
        <f>G346*I346*J346</f>
        <v>1.25</v>
      </c>
    </row>
    <row r="347" spans="2:11" ht="15">
      <c r="B347" s="55"/>
      <c r="C347" s="55"/>
      <c r="D347" s="55"/>
      <c r="E347" s="56" t="s">
        <v>330</v>
      </c>
      <c r="F347" s="55"/>
      <c r="G347" s="55">
        <v>0.25</v>
      </c>
      <c r="H347" s="55">
        <v>1.4</v>
      </c>
      <c r="I347" s="55"/>
      <c r="J347" s="55">
        <v>1</v>
      </c>
      <c r="K347" s="105">
        <f>G347*H347*J347</f>
        <v>0.35</v>
      </c>
    </row>
    <row r="348" spans="2:11" ht="18" customHeight="1">
      <c r="B348" s="56"/>
      <c r="C348" s="56"/>
      <c r="D348" s="56"/>
      <c r="E348" s="56" t="s">
        <v>331</v>
      </c>
      <c r="F348" s="55"/>
      <c r="G348" s="55">
        <v>0.53</v>
      </c>
      <c r="H348" s="55">
        <v>1.4</v>
      </c>
      <c r="I348" s="55"/>
      <c r="J348" s="55">
        <v>1</v>
      </c>
      <c r="K348" s="105">
        <f>G348*H348*J348</f>
        <v>0.742</v>
      </c>
    </row>
    <row r="349" spans="2:11" ht="18" customHeight="1">
      <c r="B349" s="56"/>
      <c r="C349" s="56"/>
      <c r="D349" s="56"/>
      <c r="E349" s="56"/>
      <c r="F349" s="55"/>
      <c r="G349" s="55"/>
      <c r="H349" s="55"/>
      <c r="I349" s="55"/>
      <c r="J349" s="55"/>
      <c r="K349" s="106">
        <f>SUM(K346:K348)</f>
        <v>2.342</v>
      </c>
    </row>
    <row r="350" spans="2:11" ht="15.75">
      <c r="B350" s="91" t="s">
        <v>96</v>
      </c>
      <c r="C350" s="104"/>
      <c r="D350" s="104"/>
      <c r="E350" s="103" t="s">
        <v>97</v>
      </c>
      <c r="F350" s="104"/>
      <c r="G350" s="104"/>
      <c r="H350" s="104"/>
      <c r="I350" s="104"/>
      <c r="J350" s="104"/>
      <c r="K350" s="104"/>
    </row>
    <row r="351" spans="1:12" s="298" customFormat="1" ht="15.75">
      <c r="A351" s="39"/>
      <c r="B351" s="94" t="s">
        <v>98</v>
      </c>
      <c r="C351" s="94" t="s">
        <v>20</v>
      </c>
      <c r="D351" s="94" t="s">
        <v>77</v>
      </c>
      <c r="E351" s="95" t="s">
        <v>78</v>
      </c>
      <c r="F351" s="94" t="s">
        <v>55</v>
      </c>
      <c r="G351" s="96" t="s">
        <v>295</v>
      </c>
      <c r="H351" s="97" t="s">
        <v>291</v>
      </c>
      <c r="I351" s="96" t="s">
        <v>292</v>
      </c>
      <c r="J351" s="96" t="s">
        <v>298</v>
      </c>
      <c r="K351" s="102" t="s">
        <v>290</v>
      </c>
      <c r="L351" s="297"/>
    </row>
    <row r="352" spans="2:11" ht="15">
      <c r="B352" s="55"/>
      <c r="C352" s="55"/>
      <c r="D352" s="55"/>
      <c r="E352" s="56" t="s">
        <v>351</v>
      </c>
      <c r="F352" s="55"/>
      <c r="G352" s="99">
        <v>0.2</v>
      </c>
      <c r="H352" s="99">
        <v>1.5</v>
      </c>
      <c r="I352" s="99">
        <v>0.3</v>
      </c>
      <c r="J352" s="99">
        <v>3</v>
      </c>
      <c r="K352" s="100">
        <f>G352*H352*I352*J352</f>
        <v>0.27</v>
      </c>
    </row>
    <row r="353" spans="1:12" s="298" customFormat="1" ht="15.75">
      <c r="A353" s="39"/>
      <c r="B353" s="94" t="s">
        <v>99</v>
      </c>
      <c r="C353" s="94" t="s">
        <v>20</v>
      </c>
      <c r="D353" s="94" t="s">
        <v>90</v>
      </c>
      <c r="E353" s="95" t="s">
        <v>91</v>
      </c>
      <c r="F353" s="94" t="s">
        <v>55</v>
      </c>
      <c r="G353" s="96" t="s">
        <v>295</v>
      </c>
      <c r="H353" s="97" t="s">
        <v>291</v>
      </c>
      <c r="I353" s="96" t="s">
        <v>292</v>
      </c>
      <c r="J353" s="96" t="s">
        <v>298</v>
      </c>
      <c r="K353" s="102" t="s">
        <v>290</v>
      </c>
      <c r="L353" s="297"/>
    </row>
    <row r="354" spans="2:11" ht="15">
      <c r="B354" s="55"/>
      <c r="C354" s="55"/>
      <c r="D354" s="55"/>
      <c r="E354" s="56" t="s">
        <v>351</v>
      </c>
      <c r="F354" s="55"/>
      <c r="G354" s="99">
        <v>0.2</v>
      </c>
      <c r="H354" s="99">
        <v>1.5</v>
      </c>
      <c r="I354" s="99">
        <v>0.3</v>
      </c>
      <c r="J354" s="99">
        <v>3</v>
      </c>
      <c r="K354" s="100">
        <f>G354*H354*I354*J354</f>
        <v>0.27</v>
      </c>
    </row>
    <row r="355" spans="1:12" s="298" customFormat="1" ht="15.75">
      <c r="A355" s="39"/>
      <c r="B355" s="94" t="s">
        <v>100</v>
      </c>
      <c r="C355" s="94" t="s">
        <v>20</v>
      </c>
      <c r="D355" s="94" t="s">
        <v>71</v>
      </c>
      <c r="E355" s="95" t="s">
        <v>72</v>
      </c>
      <c r="F355" s="94" t="s">
        <v>73</v>
      </c>
      <c r="G355" s="96" t="s">
        <v>9</v>
      </c>
      <c r="H355" s="96" t="s">
        <v>291</v>
      </c>
      <c r="I355" s="96" t="s">
        <v>310</v>
      </c>
      <c r="J355" s="96" t="s">
        <v>298</v>
      </c>
      <c r="K355" s="96" t="s">
        <v>290</v>
      </c>
      <c r="L355" s="297"/>
    </row>
    <row r="356" spans="2:11" ht="15">
      <c r="B356" s="55"/>
      <c r="C356" s="55"/>
      <c r="D356" s="55"/>
      <c r="E356" s="56" t="s">
        <v>332</v>
      </c>
      <c r="F356" s="55"/>
      <c r="G356" s="99">
        <v>5</v>
      </c>
      <c r="H356" s="99">
        <v>1.5</v>
      </c>
      <c r="I356" s="99">
        <v>0.617</v>
      </c>
      <c r="J356" s="99"/>
      <c r="K356" s="100">
        <f>G356*H356*I356</f>
        <v>4.6274999999999995</v>
      </c>
    </row>
    <row r="357" spans="2:11" ht="15">
      <c r="B357" s="55"/>
      <c r="C357" s="55"/>
      <c r="D357" s="55"/>
      <c r="E357" s="56" t="s">
        <v>333</v>
      </c>
      <c r="F357" s="55"/>
      <c r="G357" s="99">
        <v>6</v>
      </c>
      <c r="H357" s="99">
        <v>1.5</v>
      </c>
      <c r="I357" s="99">
        <v>0.617</v>
      </c>
      <c r="J357" s="99"/>
      <c r="K357" s="100">
        <f>G357*H357*I357</f>
        <v>5.553</v>
      </c>
    </row>
    <row r="358" spans="2:11" ht="15">
      <c r="B358" s="55"/>
      <c r="C358" s="55"/>
      <c r="D358" s="55"/>
      <c r="E358" s="56" t="s">
        <v>334</v>
      </c>
      <c r="F358" s="55"/>
      <c r="G358" s="99">
        <v>6</v>
      </c>
      <c r="H358" s="99">
        <v>1.5</v>
      </c>
      <c r="I358" s="99">
        <v>0.963</v>
      </c>
      <c r="J358" s="99"/>
      <c r="K358" s="100">
        <f>G358*H358*I358</f>
        <v>8.667</v>
      </c>
    </row>
    <row r="359" spans="2:11" ht="15">
      <c r="B359" s="55"/>
      <c r="C359" s="55"/>
      <c r="D359" s="55"/>
      <c r="E359" s="56" t="s">
        <v>329</v>
      </c>
      <c r="F359" s="55"/>
      <c r="G359" s="119">
        <f>1.5*3/0.15</f>
        <v>30</v>
      </c>
      <c r="H359" s="99">
        <f>0.14+0.14+0.24+0.24+0.06</f>
        <v>0.8200000000000001</v>
      </c>
      <c r="I359" s="99">
        <v>0.245</v>
      </c>
      <c r="J359" s="99"/>
      <c r="K359" s="100">
        <f>G359*H359*I359</f>
        <v>6.027</v>
      </c>
    </row>
    <row r="360" spans="2:11" ht="18" customHeight="1">
      <c r="B360" s="56"/>
      <c r="C360" s="56"/>
      <c r="D360" s="56"/>
      <c r="E360" s="56"/>
      <c r="F360" s="55"/>
      <c r="G360" s="55"/>
      <c r="H360" s="55"/>
      <c r="I360" s="55"/>
      <c r="J360" s="55"/>
      <c r="K360" s="106">
        <f>SUM(K356:K359)</f>
        <v>24.874499999999998</v>
      </c>
    </row>
    <row r="361" spans="1:12" s="298" customFormat="1" ht="15.75">
      <c r="A361" s="39"/>
      <c r="B361" s="94" t="s">
        <v>101</v>
      </c>
      <c r="C361" s="94" t="s">
        <v>20</v>
      </c>
      <c r="D361" s="94" t="s">
        <v>94</v>
      </c>
      <c r="E361" s="95" t="s">
        <v>95</v>
      </c>
      <c r="F361" s="94" t="s">
        <v>23</v>
      </c>
      <c r="G361" s="96" t="s">
        <v>9</v>
      </c>
      <c r="H361" s="97" t="s">
        <v>291</v>
      </c>
      <c r="I361" s="96" t="s">
        <v>292</v>
      </c>
      <c r="J361" s="96" t="s">
        <v>298</v>
      </c>
      <c r="K361" s="102" t="s">
        <v>290</v>
      </c>
      <c r="L361" s="297"/>
    </row>
    <row r="362" spans="2:11" ht="15">
      <c r="B362" s="55"/>
      <c r="C362" s="55"/>
      <c r="D362" s="55"/>
      <c r="E362" s="56" t="s">
        <v>351</v>
      </c>
      <c r="F362" s="55"/>
      <c r="G362" s="99">
        <v>2</v>
      </c>
      <c r="H362" s="99">
        <v>1.5</v>
      </c>
      <c r="I362" s="99">
        <v>0.3</v>
      </c>
      <c r="J362" s="99">
        <v>3</v>
      </c>
      <c r="K362" s="100">
        <f>G362*H362*I362*J362</f>
        <v>2.6999999999999997</v>
      </c>
    </row>
    <row r="363" spans="2:11" ht="15">
      <c r="B363" s="120"/>
      <c r="C363" s="120"/>
      <c r="D363" s="120"/>
      <c r="E363" s="107"/>
      <c r="F363" s="120"/>
      <c r="G363" s="121"/>
      <c r="H363" s="121"/>
      <c r="I363" s="121"/>
      <c r="J363" s="121"/>
      <c r="K363" s="106">
        <f>K362</f>
        <v>2.6999999999999997</v>
      </c>
    </row>
    <row r="364" spans="2:11" ht="15.75">
      <c r="B364" s="91" t="s">
        <v>102</v>
      </c>
      <c r="C364" s="104"/>
      <c r="D364" s="104"/>
      <c r="E364" s="103" t="s">
        <v>103</v>
      </c>
      <c r="F364" s="104"/>
      <c r="G364" s="104"/>
      <c r="H364" s="104"/>
      <c r="I364" s="104"/>
      <c r="J364" s="104"/>
      <c r="K364" s="104"/>
    </row>
    <row r="365" spans="1:12" s="298" customFormat="1" ht="15.75">
      <c r="A365" s="39"/>
      <c r="B365" s="94" t="s">
        <v>104</v>
      </c>
      <c r="C365" s="94" t="s">
        <v>20</v>
      </c>
      <c r="D365" s="94" t="s">
        <v>105</v>
      </c>
      <c r="E365" s="95" t="s">
        <v>106</v>
      </c>
      <c r="F365" s="94" t="s">
        <v>23</v>
      </c>
      <c r="G365" s="96" t="s">
        <v>335</v>
      </c>
      <c r="H365" s="97" t="s">
        <v>291</v>
      </c>
      <c r="I365" s="96" t="s">
        <v>292</v>
      </c>
      <c r="J365" s="96" t="s">
        <v>298</v>
      </c>
      <c r="K365" s="102" t="s">
        <v>290</v>
      </c>
      <c r="L365" s="297"/>
    </row>
    <row r="366" spans="2:11" ht="15">
      <c r="B366" s="55"/>
      <c r="C366" s="55"/>
      <c r="D366" s="55"/>
      <c r="E366" s="56" t="s">
        <v>297</v>
      </c>
      <c r="F366" s="55"/>
      <c r="G366" s="99">
        <v>7</v>
      </c>
      <c r="H366" s="99">
        <f>1.5-0.25</f>
        <v>1.25</v>
      </c>
      <c r="I366" s="99">
        <v>0.2</v>
      </c>
      <c r="J366" s="99"/>
      <c r="K366" s="99">
        <f>G366*H366*I366</f>
        <v>1.75</v>
      </c>
    </row>
    <row r="367" spans="2:11" ht="15">
      <c r="B367" s="55"/>
      <c r="C367" s="55"/>
      <c r="D367" s="55"/>
      <c r="E367" s="56" t="s">
        <v>305</v>
      </c>
      <c r="F367" s="55"/>
      <c r="G367" s="99">
        <v>2</v>
      </c>
      <c r="H367" s="99">
        <f>1.5-0.25</f>
        <v>1.25</v>
      </c>
      <c r="I367" s="99">
        <v>0.2</v>
      </c>
      <c r="J367" s="99"/>
      <c r="K367" s="99">
        <f>G367*H367*I367</f>
        <v>0.5</v>
      </c>
    </row>
    <row r="368" spans="2:11" ht="18" customHeight="1">
      <c r="B368" s="56"/>
      <c r="C368" s="56"/>
      <c r="D368" s="56"/>
      <c r="E368" s="56"/>
      <c r="F368" s="55"/>
      <c r="G368" s="55"/>
      <c r="H368" s="55"/>
      <c r="I368" s="55"/>
      <c r="J368" s="55"/>
      <c r="K368" s="122">
        <f>SUM(K366:K367)</f>
        <v>2.25</v>
      </c>
    </row>
    <row r="369" spans="1:12" s="298" customFormat="1" ht="31.5">
      <c r="A369" s="39"/>
      <c r="B369" s="94" t="s">
        <v>107</v>
      </c>
      <c r="C369" s="94" t="s">
        <v>20</v>
      </c>
      <c r="D369" s="94" t="s">
        <v>108</v>
      </c>
      <c r="E369" s="101" t="s">
        <v>109</v>
      </c>
      <c r="F369" s="94" t="s">
        <v>55</v>
      </c>
      <c r="G369" s="96" t="s">
        <v>295</v>
      </c>
      <c r="H369" s="97" t="s">
        <v>291</v>
      </c>
      <c r="I369" s="96" t="s">
        <v>292</v>
      </c>
      <c r="J369" s="96" t="s">
        <v>298</v>
      </c>
      <c r="K369" s="102" t="s">
        <v>290</v>
      </c>
      <c r="L369" s="297"/>
    </row>
    <row r="370" spans="2:11" ht="15">
      <c r="B370" s="55"/>
      <c r="C370" s="55"/>
      <c r="D370" s="55"/>
      <c r="E370" s="107" t="s">
        <v>395</v>
      </c>
      <c r="F370" s="55"/>
      <c r="G370" s="99">
        <v>0.02</v>
      </c>
      <c r="H370" s="99">
        <v>1.5</v>
      </c>
      <c r="I370" s="99">
        <f>2.1+0.4</f>
        <v>2.5</v>
      </c>
      <c r="J370" s="99">
        <v>2</v>
      </c>
      <c r="K370" s="100">
        <f>G370*H370*I370*J370</f>
        <v>0.15</v>
      </c>
    </row>
    <row r="371" spans="2:11" ht="15">
      <c r="B371" s="55"/>
      <c r="C371" s="55"/>
      <c r="D371" s="55"/>
      <c r="E371" s="141" t="s">
        <v>396</v>
      </c>
      <c r="F371" s="55"/>
      <c r="G371" s="99">
        <v>0.02</v>
      </c>
      <c r="H371" s="99">
        <v>1.5</v>
      </c>
      <c r="I371" s="99">
        <v>0.4</v>
      </c>
      <c r="J371" s="99"/>
      <c r="K371" s="100">
        <f>G371*H371*I371</f>
        <v>0.012</v>
      </c>
    </row>
    <row r="372" spans="2:11" ht="15">
      <c r="B372" s="55"/>
      <c r="C372" s="55"/>
      <c r="D372" s="55"/>
      <c r="E372" s="107" t="s">
        <v>336</v>
      </c>
      <c r="F372" s="55"/>
      <c r="G372" s="99">
        <v>0.2</v>
      </c>
      <c r="H372" s="99">
        <v>1.5</v>
      </c>
      <c r="I372" s="99">
        <v>0.02</v>
      </c>
      <c r="J372" s="99"/>
      <c r="K372" s="100">
        <f>G372*H372*I372</f>
        <v>0.006000000000000001</v>
      </c>
    </row>
    <row r="373" spans="2:11" ht="18" customHeight="1">
      <c r="B373" s="56"/>
      <c r="C373" s="56"/>
      <c r="D373" s="56"/>
      <c r="E373" s="56"/>
      <c r="F373" s="55"/>
      <c r="G373" s="55"/>
      <c r="H373" s="55"/>
      <c r="I373" s="55"/>
      <c r="J373" s="55"/>
      <c r="K373" s="106">
        <f>SUM(K370:K372)</f>
        <v>0.168</v>
      </c>
    </row>
    <row r="374" spans="1:12" s="298" customFormat="1" ht="15.75">
      <c r="A374" s="39"/>
      <c r="B374" s="123" t="s">
        <v>110</v>
      </c>
      <c r="C374" s="123" t="s">
        <v>20</v>
      </c>
      <c r="D374" s="123" t="s">
        <v>111</v>
      </c>
      <c r="E374" s="124" t="s">
        <v>112</v>
      </c>
      <c r="F374" s="123" t="s">
        <v>23</v>
      </c>
      <c r="G374" s="123" t="s">
        <v>295</v>
      </c>
      <c r="H374" s="125" t="s">
        <v>291</v>
      </c>
      <c r="I374" s="123" t="s">
        <v>292</v>
      </c>
      <c r="J374" s="123" t="s">
        <v>303</v>
      </c>
      <c r="K374" s="126" t="s">
        <v>290</v>
      </c>
      <c r="L374" s="297"/>
    </row>
    <row r="375" spans="2:11" ht="15">
      <c r="B375" s="57"/>
      <c r="C375" s="57"/>
      <c r="D375" s="57"/>
      <c r="E375" s="107" t="s">
        <v>395</v>
      </c>
      <c r="F375" s="57"/>
      <c r="G375" s="57"/>
      <c r="H375" s="57">
        <v>1.5</v>
      </c>
      <c r="I375" s="57">
        <f>2.1+0.4</f>
        <v>2.5</v>
      </c>
      <c r="J375" s="57">
        <v>2</v>
      </c>
      <c r="K375" s="128">
        <f>H375*I375*J375</f>
        <v>7.5</v>
      </c>
    </row>
    <row r="376" spans="2:11" ht="15">
      <c r="B376" s="57"/>
      <c r="C376" s="57"/>
      <c r="D376" s="57"/>
      <c r="E376" s="141" t="s">
        <v>396</v>
      </c>
      <c r="F376" s="57"/>
      <c r="G376" s="57"/>
      <c r="H376" s="57">
        <v>1.5</v>
      </c>
      <c r="I376" s="57">
        <v>0.4</v>
      </c>
      <c r="J376" s="57"/>
      <c r="K376" s="128">
        <f>H376*I376</f>
        <v>0.6000000000000001</v>
      </c>
    </row>
    <row r="377" spans="2:11" ht="15">
      <c r="B377" s="57"/>
      <c r="C377" s="57"/>
      <c r="D377" s="57"/>
      <c r="E377" s="107" t="s">
        <v>336</v>
      </c>
      <c r="F377" s="57"/>
      <c r="G377" s="57">
        <v>0.2</v>
      </c>
      <c r="H377" s="57">
        <v>1.5</v>
      </c>
      <c r="I377" s="57"/>
      <c r="J377" s="57"/>
      <c r="K377" s="128">
        <f>G377*H377</f>
        <v>0.30000000000000004</v>
      </c>
    </row>
    <row r="378" spans="2:11" ht="18" customHeight="1">
      <c r="B378" s="129"/>
      <c r="C378" s="129"/>
      <c r="D378" s="129"/>
      <c r="E378" s="129"/>
      <c r="F378" s="57"/>
      <c r="G378" s="57"/>
      <c r="H378" s="57"/>
      <c r="I378" s="57"/>
      <c r="J378" s="57"/>
      <c r="K378" s="130">
        <f>SUM(K375:K377)</f>
        <v>8.4</v>
      </c>
    </row>
    <row r="379" spans="1:12" s="298" customFormat="1" ht="15.75">
      <c r="A379" s="39"/>
      <c r="B379" s="123" t="s">
        <v>113</v>
      </c>
      <c r="C379" s="123" t="s">
        <v>20</v>
      </c>
      <c r="D379" s="123" t="s">
        <v>71</v>
      </c>
      <c r="E379" s="124" t="s">
        <v>72</v>
      </c>
      <c r="F379" s="123" t="s">
        <v>73</v>
      </c>
      <c r="G379" s="123" t="s">
        <v>9</v>
      </c>
      <c r="H379" s="123" t="s">
        <v>291</v>
      </c>
      <c r="I379" s="123" t="s">
        <v>310</v>
      </c>
      <c r="J379" s="123"/>
      <c r="K379" s="123" t="s">
        <v>290</v>
      </c>
      <c r="L379" s="297"/>
    </row>
    <row r="380" spans="2:11" ht="15">
      <c r="B380" s="57"/>
      <c r="C380" s="57"/>
      <c r="D380" s="57"/>
      <c r="E380" s="129" t="s">
        <v>337</v>
      </c>
      <c r="F380" s="57"/>
      <c r="G380" s="57">
        <v>1</v>
      </c>
      <c r="H380" s="57">
        <v>1.5</v>
      </c>
      <c r="I380" s="57">
        <v>0.245</v>
      </c>
      <c r="J380" s="57"/>
      <c r="K380" s="128">
        <f>G380*H380*I380</f>
        <v>0.3675</v>
      </c>
    </row>
    <row r="381" spans="2:11" ht="15">
      <c r="B381" s="57"/>
      <c r="C381" s="57"/>
      <c r="D381" s="57"/>
      <c r="E381" s="129" t="s">
        <v>338</v>
      </c>
      <c r="F381" s="57"/>
      <c r="G381" s="57">
        <v>1</v>
      </c>
      <c r="H381" s="57">
        <v>1.5</v>
      </c>
      <c r="I381" s="57">
        <v>0.395</v>
      </c>
      <c r="J381" s="57"/>
      <c r="K381" s="128">
        <f>G381*H381*I381</f>
        <v>0.5925</v>
      </c>
    </row>
    <row r="382" spans="2:11" ht="15">
      <c r="B382" s="57"/>
      <c r="C382" s="57"/>
      <c r="D382" s="57"/>
      <c r="E382" s="129" t="s">
        <v>339</v>
      </c>
      <c r="F382" s="57"/>
      <c r="G382" s="57">
        <v>1</v>
      </c>
      <c r="H382" s="57">
        <v>1.5</v>
      </c>
      <c r="I382" s="57">
        <v>0.395</v>
      </c>
      <c r="J382" s="57"/>
      <c r="K382" s="128">
        <f>G382*H382*I382</f>
        <v>0.5925</v>
      </c>
    </row>
    <row r="383" spans="2:11" ht="18" customHeight="1">
      <c r="B383" s="129"/>
      <c r="C383" s="129"/>
      <c r="D383" s="129"/>
      <c r="E383" s="129"/>
      <c r="F383" s="57"/>
      <c r="G383" s="57"/>
      <c r="H383" s="57"/>
      <c r="I383" s="57"/>
      <c r="J383" s="57"/>
      <c r="K383" s="130">
        <f>SUM(K380:K382)</f>
        <v>1.5525</v>
      </c>
    </row>
    <row r="384" spans="1:12" s="298" customFormat="1" ht="31.5">
      <c r="A384" s="39"/>
      <c r="B384" s="123" t="s">
        <v>114</v>
      </c>
      <c r="C384" s="123" t="s">
        <v>20</v>
      </c>
      <c r="D384" s="123" t="s">
        <v>115</v>
      </c>
      <c r="E384" s="131" t="s">
        <v>116</v>
      </c>
      <c r="F384" s="123" t="s">
        <v>23</v>
      </c>
      <c r="G384" s="123"/>
      <c r="H384" s="125" t="s">
        <v>291</v>
      </c>
      <c r="I384" s="123" t="s">
        <v>292</v>
      </c>
      <c r="J384" s="123"/>
      <c r="K384" s="126" t="s">
        <v>290</v>
      </c>
      <c r="L384" s="297"/>
    </row>
    <row r="385" spans="2:11" ht="15">
      <c r="B385" s="57"/>
      <c r="C385" s="57"/>
      <c r="D385" s="57"/>
      <c r="E385" s="127"/>
      <c r="F385" s="57"/>
      <c r="G385" s="57"/>
      <c r="H385" s="57">
        <v>1.5</v>
      </c>
      <c r="I385" s="57">
        <v>1.1</v>
      </c>
      <c r="J385" s="57"/>
      <c r="K385" s="128">
        <f>H385*I385</f>
        <v>1.6500000000000001</v>
      </c>
    </row>
    <row r="386" spans="1:12" s="298" customFormat="1" ht="15.75">
      <c r="A386" s="39"/>
      <c r="B386" s="123" t="s">
        <v>117</v>
      </c>
      <c r="C386" s="123" t="s">
        <v>20</v>
      </c>
      <c r="D386" s="123" t="s">
        <v>118</v>
      </c>
      <c r="E386" s="124" t="s">
        <v>119</v>
      </c>
      <c r="F386" s="123" t="s">
        <v>23</v>
      </c>
      <c r="G386" s="123"/>
      <c r="H386" s="125" t="s">
        <v>291</v>
      </c>
      <c r="I386" s="123" t="s">
        <v>292</v>
      </c>
      <c r="J386" s="123" t="s">
        <v>298</v>
      </c>
      <c r="K386" s="126" t="s">
        <v>290</v>
      </c>
      <c r="L386" s="297"/>
    </row>
    <row r="387" spans="2:11" ht="15">
      <c r="B387" s="57"/>
      <c r="C387" s="57"/>
      <c r="D387" s="57"/>
      <c r="E387" s="107" t="s">
        <v>395</v>
      </c>
      <c r="F387" s="57"/>
      <c r="G387" s="57"/>
      <c r="H387" s="57">
        <v>1.5</v>
      </c>
      <c r="I387" s="57">
        <f>2.1+0.4</f>
        <v>2.5</v>
      </c>
      <c r="J387" s="57">
        <v>2</v>
      </c>
      <c r="K387" s="128">
        <f>H387*I387*J387</f>
        <v>7.5</v>
      </c>
    </row>
    <row r="388" spans="2:11" ht="15">
      <c r="B388" s="57"/>
      <c r="C388" s="57"/>
      <c r="D388" s="57"/>
      <c r="E388" s="141" t="s">
        <v>396</v>
      </c>
      <c r="F388" s="57"/>
      <c r="G388" s="57"/>
      <c r="H388" s="57">
        <v>1.5</v>
      </c>
      <c r="I388" s="57">
        <v>0.4</v>
      </c>
      <c r="J388" s="57"/>
      <c r="K388" s="128">
        <f>H388*I388</f>
        <v>0.6000000000000001</v>
      </c>
    </row>
    <row r="389" spans="2:11" ht="15">
      <c r="B389" s="57"/>
      <c r="C389" s="57"/>
      <c r="D389" s="57"/>
      <c r="E389" s="107" t="s">
        <v>336</v>
      </c>
      <c r="F389" s="57"/>
      <c r="G389" s="57">
        <v>0.2</v>
      </c>
      <c r="H389" s="57">
        <v>1.5</v>
      </c>
      <c r="I389" s="57"/>
      <c r="J389" s="57"/>
      <c r="K389" s="128">
        <f>G389*H389</f>
        <v>0.30000000000000004</v>
      </c>
    </row>
    <row r="390" spans="2:11" ht="18" customHeight="1">
      <c r="B390" s="129"/>
      <c r="C390" s="129"/>
      <c r="D390" s="129"/>
      <c r="E390" s="129"/>
      <c r="F390" s="57"/>
      <c r="G390" s="57"/>
      <c r="H390" s="57"/>
      <c r="I390" s="57"/>
      <c r="J390" s="57"/>
      <c r="K390" s="130">
        <f>SUM(K387:K389)</f>
        <v>8.4</v>
      </c>
    </row>
    <row r="391" spans="2:11" ht="15.75">
      <c r="B391" s="92" t="s">
        <v>120</v>
      </c>
      <c r="C391" s="132"/>
      <c r="D391" s="132"/>
      <c r="E391" s="93" t="s">
        <v>121</v>
      </c>
      <c r="F391" s="132"/>
      <c r="G391" s="132"/>
      <c r="H391" s="132"/>
      <c r="I391" s="132"/>
      <c r="J391" s="132"/>
      <c r="K391" s="132"/>
    </row>
    <row r="392" spans="1:12" s="298" customFormat="1" ht="15.75">
      <c r="A392" s="39"/>
      <c r="B392" s="55" t="s">
        <v>76</v>
      </c>
      <c r="C392" s="55" t="s">
        <v>20</v>
      </c>
      <c r="D392" s="55" t="s">
        <v>77</v>
      </c>
      <c r="E392" s="56" t="s">
        <v>78</v>
      </c>
      <c r="F392" s="123" t="s">
        <v>55</v>
      </c>
      <c r="G392" s="125" t="s">
        <v>295</v>
      </c>
      <c r="H392" s="125" t="s">
        <v>291</v>
      </c>
      <c r="I392" s="123" t="s">
        <v>292</v>
      </c>
      <c r="J392" s="123" t="s">
        <v>298</v>
      </c>
      <c r="K392" s="123" t="s">
        <v>290</v>
      </c>
      <c r="L392" s="299"/>
    </row>
    <row r="393" spans="2:11" ht="15">
      <c r="B393" s="57"/>
      <c r="C393" s="57"/>
      <c r="D393" s="57"/>
      <c r="E393" s="127" t="s">
        <v>340</v>
      </c>
      <c r="F393" s="57"/>
      <c r="G393" s="128">
        <v>0.2</v>
      </c>
      <c r="H393" s="128">
        <v>1.5</v>
      </c>
      <c r="I393" s="128">
        <v>2.1</v>
      </c>
      <c r="J393" s="128"/>
      <c r="K393" s="249">
        <f>G393*H393*I393</f>
        <v>0.6300000000000001</v>
      </c>
    </row>
    <row r="394" spans="1:12" s="298" customFormat="1" ht="15.75">
      <c r="A394" s="39"/>
      <c r="B394" s="55" t="s">
        <v>79</v>
      </c>
      <c r="C394" s="55" t="s">
        <v>20</v>
      </c>
      <c r="D394" s="55" t="s">
        <v>80</v>
      </c>
      <c r="E394" s="56" t="s">
        <v>81</v>
      </c>
      <c r="F394" s="123" t="s">
        <v>55</v>
      </c>
      <c r="G394" s="125" t="s">
        <v>295</v>
      </c>
      <c r="H394" s="125" t="s">
        <v>291</v>
      </c>
      <c r="I394" s="123" t="s">
        <v>292</v>
      </c>
      <c r="J394" s="123" t="s">
        <v>298</v>
      </c>
      <c r="K394" s="123" t="s">
        <v>290</v>
      </c>
      <c r="L394" s="297"/>
    </row>
    <row r="395" spans="2:11" ht="18" customHeight="1">
      <c r="B395" s="129"/>
      <c r="C395" s="129"/>
      <c r="D395" s="129"/>
      <c r="E395" s="127" t="s">
        <v>341</v>
      </c>
      <c r="F395" s="57"/>
      <c r="G395" s="128">
        <v>0.2</v>
      </c>
      <c r="H395" s="128">
        <v>1.5</v>
      </c>
      <c r="I395" s="128">
        <v>2.1</v>
      </c>
      <c r="J395" s="128"/>
      <c r="K395" s="249">
        <f>G395*H395*I395</f>
        <v>0.6300000000000001</v>
      </c>
    </row>
    <row r="396" spans="2:11" ht="15">
      <c r="B396" s="118"/>
      <c r="C396" s="118"/>
      <c r="D396" s="118"/>
      <c r="E396" s="118"/>
      <c r="F396" s="99"/>
      <c r="G396" s="99"/>
      <c r="H396" s="99"/>
      <c r="I396" s="99"/>
      <c r="J396" s="99"/>
      <c r="K396" s="99"/>
    </row>
    <row r="397" spans="2:11" ht="15" customHeight="1">
      <c r="B397" s="315" t="s">
        <v>352</v>
      </c>
      <c r="C397" s="315"/>
      <c r="D397" s="315"/>
      <c r="E397" s="315"/>
      <c r="F397" s="315"/>
      <c r="G397" s="315"/>
      <c r="H397" s="315"/>
      <c r="I397" s="315"/>
      <c r="J397" s="315"/>
      <c r="K397" s="315"/>
    </row>
    <row r="398" spans="2:11" ht="15" customHeight="1">
      <c r="B398" s="315"/>
      <c r="C398" s="315"/>
      <c r="D398" s="315"/>
      <c r="E398" s="315"/>
      <c r="F398" s="315"/>
      <c r="G398" s="315"/>
      <c r="H398" s="315"/>
      <c r="I398" s="315"/>
      <c r="J398" s="315"/>
      <c r="K398" s="315"/>
    </row>
    <row r="399" spans="2:11" ht="15">
      <c r="B399" s="118"/>
      <c r="C399" s="118"/>
      <c r="D399" s="118"/>
      <c r="E399" s="118"/>
      <c r="F399" s="99"/>
      <c r="G399" s="99"/>
      <c r="H399" s="99"/>
      <c r="I399" s="99"/>
      <c r="J399" s="99"/>
      <c r="K399" s="99"/>
    </row>
    <row r="400" spans="2:11" ht="15.75">
      <c r="B400" s="91">
        <v>3</v>
      </c>
      <c r="C400" s="91"/>
      <c r="D400" s="91"/>
      <c r="E400" s="103" t="s">
        <v>353</v>
      </c>
      <c r="F400" s="104"/>
      <c r="G400" s="104"/>
      <c r="H400" s="104"/>
      <c r="I400" s="104"/>
      <c r="J400" s="104"/>
      <c r="K400" s="104"/>
    </row>
    <row r="401" spans="2:11" ht="15.75">
      <c r="B401" s="94" t="s">
        <v>46</v>
      </c>
      <c r="C401" s="94"/>
      <c r="D401" s="94"/>
      <c r="E401" s="95" t="s">
        <v>47</v>
      </c>
      <c r="F401" s="55"/>
      <c r="G401" s="55"/>
      <c r="H401" s="55"/>
      <c r="I401" s="55"/>
      <c r="J401" s="55"/>
      <c r="K401" s="55"/>
    </row>
    <row r="402" spans="1:12" s="298" customFormat="1" ht="15.75">
      <c r="A402" s="39"/>
      <c r="B402" s="94" t="s">
        <v>48</v>
      </c>
      <c r="C402" s="94" t="s">
        <v>20</v>
      </c>
      <c r="D402" s="94" t="s">
        <v>49</v>
      </c>
      <c r="E402" s="95" t="s">
        <v>50</v>
      </c>
      <c r="F402" s="94" t="s">
        <v>51</v>
      </c>
      <c r="G402" s="94"/>
      <c r="H402" s="97" t="s">
        <v>291</v>
      </c>
      <c r="I402" s="94"/>
      <c r="J402" s="94"/>
      <c r="K402" s="97" t="s">
        <v>290</v>
      </c>
      <c r="L402" s="297"/>
    </row>
    <row r="403" spans="2:11" ht="15">
      <c r="B403" s="55"/>
      <c r="C403" s="55"/>
      <c r="D403" s="55"/>
      <c r="E403" s="56"/>
      <c r="F403" s="55"/>
      <c r="G403" s="55"/>
      <c r="H403" s="105">
        <v>4.48</v>
      </c>
      <c r="I403" s="55"/>
      <c r="J403" s="55"/>
      <c r="K403" s="250">
        <f>H403</f>
        <v>4.48</v>
      </c>
    </row>
    <row r="404" spans="1:12" s="298" customFormat="1" ht="15.75">
      <c r="A404" s="39"/>
      <c r="B404" s="94" t="s">
        <v>52</v>
      </c>
      <c r="C404" s="94" t="s">
        <v>20</v>
      </c>
      <c r="D404" s="94" t="s">
        <v>53</v>
      </c>
      <c r="E404" s="95" t="s">
        <v>54</v>
      </c>
      <c r="F404" s="94" t="s">
        <v>55</v>
      </c>
      <c r="G404" s="97" t="s">
        <v>295</v>
      </c>
      <c r="H404" s="97" t="s">
        <v>291</v>
      </c>
      <c r="I404" s="94" t="s">
        <v>292</v>
      </c>
      <c r="J404" s="94"/>
      <c r="K404" s="97" t="s">
        <v>290</v>
      </c>
      <c r="L404" s="297"/>
    </row>
    <row r="405" spans="2:11" ht="15">
      <c r="B405" s="55"/>
      <c r="C405" s="55"/>
      <c r="D405" s="55"/>
      <c r="E405" s="56" t="s">
        <v>296</v>
      </c>
      <c r="F405" s="105"/>
      <c r="G405" s="105">
        <v>1.3</v>
      </c>
      <c r="H405" s="105">
        <v>4.48</v>
      </c>
      <c r="I405" s="105">
        <v>0.06</v>
      </c>
      <c r="J405" s="105"/>
      <c r="K405" s="105">
        <f>G405*H405*I405</f>
        <v>0.34944000000000003</v>
      </c>
    </row>
    <row r="406" spans="2:11" ht="15">
      <c r="B406" s="55"/>
      <c r="C406" s="55"/>
      <c r="D406" s="55"/>
      <c r="E406" s="56" t="s">
        <v>297</v>
      </c>
      <c r="F406" s="55"/>
      <c r="G406" s="105">
        <v>0.2</v>
      </c>
      <c r="H406" s="105">
        <v>4.48</v>
      </c>
      <c r="I406" s="105">
        <v>0.46</v>
      </c>
      <c r="J406" s="105"/>
      <c r="K406" s="105">
        <f>G406*H406*I406</f>
        <v>0.4121600000000001</v>
      </c>
    </row>
    <row r="407" spans="2:11" ht="15">
      <c r="B407" s="56"/>
      <c r="C407" s="56"/>
      <c r="D407" s="56"/>
      <c r="E407" s="56"/>
      <c r="F407" s="55"/>
      <c r="G407" s="55"/>
      <c r="H407" s="55"/>
      <c r="I407" s="55"/>
      <c r="J407" s="55"/>
      <c r="K407" s="106">
        <f>SUM(K405:K406)</f>
        <v>0.7616</v>
      </c>
    </row>
    <row r="408" spans="1:12" s="298" customFormat="1" ht="31.5">
      <c r="A408" s="39"/>
      <c r="B408" s="94" t="s">
        <v>56</v>
      </c>
      <c r="C408" s="94" t="s">
        <v>20</v>
      </c>
      <c r="D408" s="94" t="s">
        <v>57</v>
      </c>
      <c r="E408" s="101" t="s">
        <v>58</v>
      </c>
      <c r="F408" s="94" t="s">
        <v>55</v>
      </c>
      <c r="G408" s="97" t="s">
        <v>295</v>
      </c>
      <c r="H408" s="97" t="s">
        <v>291</v>
      </c>
      <c r="I408" s="94" t="s">
        <v>292</v>
      </c>
      <c r="J408" s="94" t="s">
        <v>298</v>
      </c>
      <c r="K408" s="97" t="s">
        <v>290</v>
      </c>
      <c r="L408" s="297"/>
    </row>
    <row r="409" spans="2:11" ht="15">
      <c r="B409" s="55"/>
      <c r="C409" s="55"/>
      <c r="D409" s="55"/>
      <c r="E409" s="107" t="s">
        <v>343</v>
      </c>
      <c r="F409" s="55"/>
      <c r="G409" s="55">
        <v>1.3</v>
      </c>
      <c r="H409" s="55">
        <v>0.7</v>
      </c>
      <c r="I409" s="55">
        <v>0.53</v>
      </c>
      <c r="J409" s="55">
        <v>3</v>
      </c>
      <c r="K409" s="105">
        <f>G409*H409*I409*J409</f>
        <v>1.4469</v>
      </c>
    </row>
    <row r="410" spans="2:11" ht="15">
      <c r="B410" s="55"/>
      <c r="C410" s="55"/>
      <c r="D410" s="55"/>
      <c r="E410" s="107" t="s">
        <v>301</v>
      </c>
      <c r="F410" s="55"/>
      <c r="G410" s="55">
        <v>0.4</v>
      </c>
      <c r="H410" s="133">
        <v>1.8</v>
      </c>
      <c r="I410" s="55">
        <v>0.33</v>
      </c>
      <c r="J410" s="55"/>
      <c r="K410" s="105">
        <f>G410*H410*I410</f>
        <v>0.23760000000000003</v>
      </c>
    </row>
    <row r="411" spans="2:11" ht="15">
      <c r="B411" s="55"/>
      <c r="C411" s="55"/>
      <c r="D411" s="55"/>
      <c r="E411" s="107"/>
      <c r="F411" s="55"/>
      <c r="G411" s="99"/>
      <c r="H411" s="55"/>
      <c r="I411" s="55"/>
      <c r="J411" s="55"/>
      <c r="K411" s="106">
        <f>SUM(K409:L410)</f>
        <v>1.6845</v>
      </c>
    </row>
    <row r="412" spans="1:12" s="298" customFormat="1" ht="15.75">
      <c r="A412" s="39"/>
      <c r="B412" s="94" t="s">
        <v>62</v>
      </c>
      <c r="C412" s="94" t="s">
        <v>20</v>
      </c>
      <c r="D412" s="94" t="s">
        <v>60</v>
      </c>
      <c r="E412" s="95" t="s">
        <v>61</v>
      </c>
      <c r="F412" s="94" t="s">
        <v>55</v>
      </c>
      <c r="G412" s="97" t="s">
        <v>295</v>
      </c>
      <c r="H412" s="97" t="s">
        <v>291</v>
      </c>
      <c r="I412" s="94" t="s">
        <v>292</v>
      </c>
      <c r="J412" s="94" t="s">
        <v>298</v>
      </c>
      <c r="K412" s="94" t="s">
        <v>290</v>
      </c>
      <c r="L412" s="297"/>
    </row>
    <row r="413" spans="2:11" ht="15">
      <c r="B413" s="55"/>
      <c r="C413" s="55"/>
      <c r="D413" s="55"/>
      <c r="E413" s="107" t="s">
        <v>344</v>
      </c>
      <c r="F413" s="55"/>
      <c r="G413" s="100">
        <v>1.2</v>
      </c>
      <c r="H413" s="105">
        <v>0.6</v>
      </c>
      <c r="I413" s="105">
        <v>0.03</v>
      </c>
      <c r="J413" s="105"/>
      <c r="K413" s="105">
        <f>G413*H413*I413</f>
        <v>0.021599999999999998</v>
      </c>
    </row>
    <row r="414" spans="2:11" ht="15">
      <c r="B414" s="55"/>
      <c r="C414" s="55"/>
      <c r="D414" s="55"/>
      <c r="E414" s="107" t="s">
        <v>301</v>
      </c>
      <c r="F414" s="55"/>
      <c r="G414" s="100">
        <v>0.3</v>
      </c>
      <c r="H414" s="105">
        <v>1.8</v>
      </c>
      <c r="I414" s="105">
        <v>0.03</v>
      </c>
      <c r="J414" s="105"/>
      <c r="K414" s="105">
        <f>G414*H414*I414</f>
        <v>0.0162</v>
      </c>
    </row>
    <row r="415" spans="2:11" ht="18" customHeight="1">
      <c r="B415" s="56"/>
      <c r="C415" s="56"/>
      <c r="D415" s="56"/>
      <c r="E415" s="56"/>
      <c r="F415" s="55"/>
      <c r="G415" s="55"/>
      <c r="H415" s="55"/>
      <c r="I415" s="55"/>
      <c r="J415" s="55"/>
      <c r="K415" s="106">
        <f>SUM(K413:K414)</f>
        <v>0.0378</v>
      </c>
    </row>
    <row r="416" spans="1:12" s="298" customFormat="1" ht="47.25">
      <c r="A416" s="39"/>
      <c r="B416" s="108" t="s">
        <v>302</v>
      </c>
      <c r="C416" s="108" t="s">
        <v>20</v>
      </c>
      <c r="D416" s="108" t="s">
        <v>63</v>
      </c>
      <c r="E416" s="109" t="s">
        <v>64</v>
      </c>
      <c r="F416" s="108" t="s">
        <v>55</v>
      </c>
      <c r="G416" s="110" t="s">
        <v>295</v>
      </c>
      <c r="H416" s="110" t="s">
        <v>291</v>
      </c>
      <c r="I416" s="108" t="s">
        <v>292</v>
      </c>
      <c r="J416" s="108" t="s">
        <v>303</v>
      </c>
      <c r="K416" s="108" t="s">
        <v>290</v>
      </c>
      <c r="L416" s="297"/>
    </row>
    <row r="417" spans="2:11" ht="15">
      <c r="B417" s="111"/>
      <c r="C417" s="111"/>
      <c r="D417" s="111"/>
      <c r="E417" s="112" t="s">
        <v>304</v>
      </c>
      <c r="F417" s="111"/>
      <c r="G417" s="113">
        <v>2.9</v>
      </c>
      <c r="H417" s="113">
        <v>4.48</v>
      </c>
      <c r="I417" s="113">
        <v>0.06</v>
      </c>
      <c r="J417" s="111"/>
      <c r="K417" s="113">
        <f>G417*H417*I417</f>
        <v>0.77952</v>
      </c>
    </row>
    <row r="418" spans="2:11" ht="15">
      <c r="B418" s="111"/>
      <c r="C418" s="111"/>
      <c r="D418" s="111"/>
      <c r="E418" s="112" t="s">
        <v>305</v>
      </c>
      <c r="F418" s="111"/>
      <c r="G418" s="113">
        <v>0.2</v>
      </c>
      <c r="H418" s="113">
        <v>4.48</v>
      </c>
      <c r="I418" s="113">
        <v>0.46</v>
      </c>
      <c r="J418" s="111"/>
      <c r="K418" s="113">
        <f>G418*H418*I418</f>
        <v>0.4121600000000001</v>
      </c>
    </row>
    <row r="419" spans="2:11" ht="15">
      <c r="B419" s="57"/>
      <c r="C419" s="57"/>
      <c r="D419" s="57"/>
      <c r="E419" s="127" t="s">
        <v>345</v>
      </c>
      <c r="F419" s="57"/>
      <c r="G419" s="128">
        <v>1.3</v>
      </c>
      <c r="H419" s="128">
        <v>0.7</v>
      </c>
      <c r="I419" s="128">
        <v>0.53</v>
      </c>
      <c r="J419" s="57">
        <v>3</v>
      </c>
      <c r="K419" s="128">
        <f>G419*H419*I419*J419</f>
        <v>1.4469</v>
      </c>
    </row>
    <row r="420" spans="2:11" ht="15">
      <c r="B420" s="57"/>
      <c r="C420" s="57"/>
      <c r="D420" s="57"/>
      <c r="E420" s="127" t="s">
        <v>308</v>
      </c>
      <c r="F420" s="57"/>
      <c r="G420" s="57">
        <v>0.4</v>
      </c>
      <c r="H420" s="57">
        <v>1.8</v>
      </c>
      <c r="I420" s="57">
        <v>0.33</v>
      </c>
      <c r="J420" s="57"/>
      <c r="K420" s="128">
        <f>G420*H420*I420</f>
        <v>0.23760000000000003</v>
      </c>
    </row>
    <row r="421" spans="2:11" ht="15">
      <c r="B421" s="57"/>
      <c r="C421" s="57"/>
      <c r="D421" s="57"/>
      <c r="E421" s="127" t="s">
        <v>309</v>
      </c>
      <c r="F421" s="57"/>
      <c r="G421" s="128">
        <f>3.14*0.125^2</f>
        <v>0.0490625</v>
      </c>
      <c r="H421" s="57">
        <v>3.5</v>
      </c>
      <c r="I421" s="57"/>
      <c r="J421" s="57">
        <v>6</v>
      </c>
      <c r="K421" s="128">
        <f>G421*H421*J421</f>
        <v>1.0303125</v>
      </c>
    </row>
    <row r="422" spans="2:11" ht="18.75" customHeight="1">
      <c r="B422" s="56"/>
      <c r="C422" s="56"/>
      <c r="D422" s="56"/>
      <c r="E422" s="56"/>
      <c r="F422" s="55"/>
      <c r="G422" s="55"/>
      <c r="H422" s="55"/>
      <c r="I422" s="55"/>
      <c r="J422" s="55"/>
      <c r="K422" s="106">
        <f>SUM(K417:K421)</f>
        <v>3.9064925</v>
      </c>
    </row>
    <row r="423" spans="2:11" ht="15.75">
      <c r="B423" s="91" t="s">
        <v>65</v>
      </c>
      <c r="C423" s="91"/>
      <c r="D423" s="104"/>
      <c r="E423" s="103" t="s">
        <v>66</v>
      </c>
      <c r="F423" s="104"/>
      <c r="G423" s="104"/>
      <c r="H423" s="104"/>
      <c r="I423" s="104"/>
      <c r="J423" s="104"/>
      <c r="K423" s="104"/>
    </row>
    <row r="424" spans="1:12" s="298" customFormat="1" ht="15.75">
      <c r="A424" s="39"/>
      <c r="B424" s="94" t="s">
        <v>67</v>
      </c>
      <c r="C424" s="94" t="s">
        <v>20</v>
      </c>
      <c r="D424" s="114" t="s">
        <v>68</v>
      </c>
      <c r="E424" s="95" t="s">
        <v>69</v>
      </c>
      <c r="F424" s="94" t="s">
        <v>51</v>
      </c>
      <c r="G424" s="96" t="s">
        <v>9</v>
      </c>
      <c r="H424" s="97" t="s">
        <v>291</v>
      </c>
      <c r="I424" s="96"/>
      <c r="J424" s="96"/>
      <c r="K424" s="96" t="s">
        <v>290</v>
      </c>
      <c r="L424" s="297"/>
    </row>
    <row r="425" spans="2:11" ht="15">
      <c r="B425" s="55"/>
      <c r="C425" s="55"/>
      <c r="D425" s="105"/>
      <c r="E425" s="56"/>
      <c r="F425" s="55"/>
      <c r="G425" s="100">
        <v>6</v>
      </c>
      <c r="H425" s="98">
        <v>3.5</v>
      </c>
      <c r="I425" s="100"/>
      <c r="J425" s="100"/>
      <c r="K425" s="100">
        <f>G425*H425</f>
        <v>21</v>
      </c>
    </row>
    <row r="426" spans="1:12" s="298" customFormat="1" ht="15.75">
      <c r="A426" s="39"/>
      <c r="B426" s="94" t="s">
        <v>70</v>
      </c>
      <c r="C426" s="94" t="s">
        <v>20</v>
      </c>
      <c r="D426" s="94" t="s">
        <v>71</v>
      </c>
      <c r="E426" s="95" t="s">
        <v>72</v>
      </c>
      <c r="F426" s="94" t="s">
        <v>73</v>
      </c>
      <c r="G426" s="96" t="s">
        <v>9</v>
      </c>
      <c r="H426" s="96" t="s">
        <v>291</v>
      </c>
      <c r="I426" s="96" t="s">
        <v>310</v>
      </c>
      <c r="J426" s="96" t="s">
        <v>298</v>
      </c>
      <c r="K426" s="96" t="s">
        <v>290</v>
      </c>
      <c r="L426" s="297"/>
    </row>
    <row r="427" spans="2:11" ht="15">
      <c r="B427" s="55"/>
      <c r="C427" s="55"/>
      <c r="D427" s="55"/>
      <c r="E427" s="56" t="s">
        <v>311</v>
      </c>
      <c r="F427" s="55"/>
      <c r="G427" s="100">
        <v>4</v>
      </c>
      <c r="H427" s="100">
        <v>3.2</v>
      </c>
      <c r="I427" s="115">
        <v>0.963</v>
      </c>
      <c r="J427" s="100">
        <v>3</v>
      </c>
      <c r="K427" s="100">
        <f>G427*H427*I427*J427</f>
        <v>36.9792</v>
      </c>
    </row>
    <row r="428" spans="2:11" ht="15">
      <c r="B428" s="55"/>
      <c r="C428" s="55"/>
      <c r="D428" s="55"/>
      <c r="E428" s="56" t="s">
        <v>312</v>
      </c>
      <c r="F428" s="55"/>
      <c r="G428" s="100">
        <v>4</v>
      </c>
      <c r="H428" s="100">
        <v>3.2</v>
      </c>
      <c r="I428" s="115">
        <v>0.617</v>
      </c>
      <c r="J428" s="100">
        <v>3</v>
      </c>
      <c r="K428" s="100">
        <f>G428*H428*I428*J428</f>
        <v>23.692800000000002</v>
      </c>
    </row>
    <row r="429" spans="2:11" ht="15">
      <c r="B429" s="55"/>
      <c r="C429" s="55"/>
      <c r="D429" s="55"/>
      <c r="E429" s="56" t="s">
        <v>313</v>
      </c>
      <c r="F429" s="55"/>
      <c r="G429" s="119">
        <f>3.2/0.15</f>
        <v>21.333333333333336</v>
      </c>
      <c r="H429" s="100">
        <v>0.66</v>
      </c>
      <c r="I429" s="115">
        <v>0.245</v>
      </c>
      <c r="J429" s="100">
        <v>6</v>
      </c>
      <c r="K429" s="100">
        <f>G429*H429*I429*J429</f>
        <v>20.6976</v>
      </c>
    </row>
    <row r="430" spans="2:11" ht="18" customHeight="1">
      <c r="B430" s="56"/>
      <c r="C430" s="56"/>
      <c r="D430" s="56"/>
      <c r="E430" s="56"/>
      <c r="F430" s="55"/>
      <c r="G430" s="55"/>
      <c r="H430" s="55"/>
      <c r="I430" s="55"/>
      <c r="J430" s="55"/>
      <c r="K430" s="106">
        <f>SUM(K427:K429)</f>
        <v>81.36959999999999</v>
      </c>
    </row>
    <row r="431" spans="2:11" ht="15.75">
      <c r="B431" s="91" t="s">
        <v>74</v>
      </c>
      <c r="C431" s="104"/>
      <c r="D431" s="104"/>
      <c r="E431" s="103" t="s">
        <v>314</v>
      </c>
      <c r="F431" s="104"/>
      <c r="G431" s="104"/>
      <c r="H431" s="104"/>
      <c r="I431" s="104"/>
      <c r="J431" s="104"/>
      <c r="K431" s="104"/>
    </row>
    <row r="432" spans="1:12" s="298" customFormat="1" ht="15.75">
      <c r="A432" s="39"/>
      <c r="B432" s="94" t="s">
        <v>76</v>
      </c>
      <c r="C432" s="94" t="s">
        <v>20</v>
      </c>
      <c r="D432" s="94" t="s">
        <v>77</v>
      </c>
      <c r="E432" s="95" t="s">
        <v>78</v>
      </c>
      <c r="F432" s="94" t="s">
        <v>55</v>
      </c>
      <c r="G432" s="97" t="s">
        <v>295</v>
      </c>
      <c r="H432" s="97" t="s">
        <v>291</v>
      </c>
      <c r="I432" s="96" t="s">
        <v>292</v>
      </c>
      <c r="J432" s="96" t="s">
        <v>298</v>
      </c>
      <c r="K432" s="96" t="s">
        <v>290</v>
      </c>
      <c r="L432" s="297"/>
    </row>
    <row r="433" spans="2:11" ht="15">
      <c r="B433" s="55"/>
      <c r="C433" s="55"/>
      <c r="D433" s="55"/>
      <c r="E433" s="107" t="s">
        <v>344</v>
      </c>
      <c r="F433" s="55"/>
      <c r="G433" s="55">
        <v>1.2</v>
      </c>
      <c r="H433" s="55">
        <v>0.6</v>
      </c>
      <c r="I433" s="55">
        <v>0.5</v>
      </c>
      <c r="J433" s="55">
        <v>3</v>
      </c>
      <c r="K433" s="105">
        <f>G433*H433*I433*J433</f>
        <v>1.08</v>
      </c>
    </row>
    <row r="434" spans="2:11" ht="15">
      <c r="B434" s="55"/>
      <c r="C434" s="55"/>
      <c r="D434" s="55"/>
      <c r="E434" s="107" t="s">
        <v>301</v>
      </c>
      <c r="F434" s="55"/>
      <c r="G434" s="55">
        <v>0.3</v>
      </c>
      <c r="H434" s="55">
        <v>1.8</v>
      </c>
      <c r="I434" s="55">
        <v>0.3</v>
      </c>
      <c r="J434" s="55"/>
      <c r="K434" s="105">
        <f>G434*H434*I434</f>
        <v>0.162</v>
      </c>
    </row>
    <row r="435" spans="2:11" ht="18" customHeight="1">
      <c r="B435" s="56"/>
      <c r="C435" s="56"/>
      <c r="D435" s="56"/>
      <c r="E435" s="56"/>
      <c r="F435" s="55"/>
      <c r="G435" s="55"/>
      <c r="H435" s="55"/>
      <c r="I435" s="55"/>
      <c r="J435" s="55"/>
      <c r="K435" s="106">
        <f>SUM(K433:K434)</f>
        <v>1.242</v>
      </c>
    </row>
    <row r="436" spans="1:12" s="298" customFormat="1" ht="15.75">
      <c r="A436" s="39"/>
      <c r="B436" s="94" t="s">
        <v>79</v>
      </c>
      <c r="C436" s="94" t="s">
        <v>20</v>
      </c>
      <c r="D436" s="94" t="s">
        <v>80</v>
      </c>
      <c r="E436" s="95" t="s">
        <v>81</v>
      </c>
      <c r="F436" s="94" t="s">
        <v>55</v>
      </c>
      <c r="G436" s="97" t="s">
        <v>295</v>
      </c>
      <c r="H436" s="97" t="s">
        <v>291</v>
      </c>
      <c r="I436" s="96" t="s">
        <v>292</v>
      </c>
      <c r="J436" s="96" t="s">
        <v>298</v>
      </c>
      <c r="K436" s="96" t="s">
        <v>290</v>
      </c>
      <c r="L436" s="297"/>
    </row>
    <row r="437" spans="2:11" ht="15">
      <c r="B437" s="116"/>
      <c r="C437" s="116"/>
      <c r="D437" s="116"/>
      <c r="E437" s="107" t="s">
        <v>344</v>
      </c>
      <c r="F437" s="55"/>
      <c r="G437" s="55">
        <v>1.2</v>
      </c>
      <c r="H437" s="55">
        <v>0.6</v>
      </c>
      <c r="I437" s="55">
        <v>0.5</v>
      </c>
      <c r="J437" s="55">
        <v>3</v>
      </c>
      <c r="K437" s="105">
        <f>G437*H437*I437*J437</f>
        <v>1.08</v>
      </c>
    </row>
    <row r="438" spans="2:11" ht="15">
      <c r="B438" s="116"/>
      <c r="C438" s="116"/>
      <c r="D438" s="116"/>
      <c r="E438" s="107" t="s">
        <v>301</v>
      </c>
      <c r="F438" s="55"/>
      <c r="G438" s="55">
        <v>0.3</v>
      </c>
      <c r="H438" s="55">
        <v>1.8</v>
      </c>
      <c r="I438" s="55">
        <v>0.3</v>
      </c>
      <c r="J438" s="55"/>
      <c r="K438" s="105">
        <f>G438*H438*I438</f>
        <v>0.162</v>
      </c>
    </row>
    <row r="439" spans="2:11" ht="18" customHeight="1">
      <c r="B439" s="117"/>
      <c r="C439" s="117"/>
      <c r="D439" s="117"/>
      <c r="E439" s="117"/>
      <c r="F439" s="105"/>
      <c r="G439" s="105"/>
      <c r="H439" s="105"/>
      <c r="I439" s="105"/>
      <c r="J439" s="55"/>
      <c r="K439" s="106">
        <f>SUM(K437:K438)</f>
        <v>1.242</v>
      </c>
    </row>
    <row r="440" spans="1:14" s="298" customFormat="1" ht="15.75">
      <c r="A440" s="39"/>
      <c r="B440" s="94" t="s">
        <v>82</v>
      </c>
      <c r="C440" s="94" t="s">
        <v>20</v>
      </c>
      <c r="D440" s="94" t="s">
        <v>71</v>
      </c>
      <c r="E440" s="95" t="s">
        <v>72</v>
      </c>
      <c r="F440" s="94" t="s">
        <v>73</v>
      </c>
      <c r="G440" s="96" t="s">
        <v>9</v>
      </c>
      <c r="H440" s="96" t="s">
        <v>291</v>
      </c>
      <c r="I440" s="96" t="s">
        <v>310</v>
      </c>
      <c r="J440" s="96" t="s">
        <v>298</v>
      </c>
      <c r="K440" s="96" t="s">
        <v>290</v>
      </c>
      <c r="L440" s="297"/>
      <c r="M440" s="300"/>
      <c r="N440" s="300"/>
    </row>
    <row r="441" spans="2:14" ht="15">
      <c r="B441" s="55"/>
      <c r="C441" s="55"/>
      <c r="D441" s="55"/>
      <c r="E441" s="56" t="s">
        <v>346</v>
      </c>
      <c r="F441" s="55"/>
      <c r="G441" s="100">
        <f>0.6/0.15</f>
        <v>4</v>
      </c>
      <c r="H441" s="100">
        <v>2.3</v>
      </c>
      <c r="I441" s="115">
        <v>0.395</v>
      </c>
      <c r="J441" s="99">
        <v>3</v>
      </c>
      <c r="K441" s="100">
        <f>G441*H441*I441*J441</f>
        <v>10.902</v>
      </c>
      <c r="M441" s="301"/>
      <c r="N441" s="301"/>
    </row>
    <row r="442" spans="2:14" ht="15">
      <c r="B442" s="55"/>
      <c r="C442" s="55"/>
      <c r="D442" s="55"/>
      <c r="E442" s="56" t="s">
        <v>346</v>
      </c>
      <c r="F442" s="55"/>
      <c r="G442" s="100">
        <f>1.2/0.15</f>
        <v>8</v>
      </c>
      <c r="H442" s="100">
        <v>1.1</v>
      </c>
      <c r="I442" s="115">
        <v>0.395</v>
      </c>
      <c r="J442" s="99">
        <v>3</v>
      </c>
      <c r="K442" s="100">
        <f>G442*H442*I442*J442</f>
        <v>10.428</v>
      </c>
      <c r="M442" s="301"/>
      <c r="N442" s="301"/>
    </row>
    <row r="443" spans="2:11" ht="15">
      <c r="B443" s="55"/>
      <c r="C443" s="55"/>
      <c r="D443" s="55"/>
      <c r="E443" s="56" t="s">
        <v>347</v>
      </c>
      <c r="F443" s="55"/>
      <c r="G443" s="100">
        <v>4</v>
      </c>
      <c r="H443" s="100">
        <v>4.48</v>
      </c>
      <c r="I443" s="115">
        <v>0.963</v>
      </c>
      <c r="J443" s="99"/>
      <c r="K443" s="100">
        <f>G443*H443*I443</f>
        <v>17.25696</v>
      </c>
    </row>
    <row r="444" spans="2:11" ht="18" customHeight="1">
      <c r="B444" s="56"/>
      <c r="C444" s="56"/>
      <c r="D444" s="56"/>
      <c r="E444" s="56" t="s">
        <v>318</v>
      </c>
      <c r="F444" s="55"/>
      <c r="G444" s="134">
        <f>4.48/0.15</f>
        <v>29.86666666666667</v>
      </c>
      <c r="H444" s="55">
        <f>0.24+0.24+0.24+0.24+0.06</f>
        <v>1.02</v>
      </c>
      <c r="I444" s="115">
        <v>0.245</v>
      </c>
      <c r="J444" s="55"/>
      <c r="K444" s="100">
        <f>G444*H444*I444</f>
        <v>7.463680000000001</v>
      </c>
    </row>
    <row r="445" spans="2:11" ht="18" customHeight="1">
      <c r="B445" s="56"/>
      <c r="C445" s="56"/>
      <c r="D445" s="56"/>
      <c r="E445" s="56"/>
      <c r="F445" s="55"/>
      <c r="G445" s="55"/>
      <c r="H445" s="55"/>
      <c r="I445" s="115"/>
      <c r="J445" s="55"/>
      <c r="K445" s="106">
        <f>SUM(K441:K444)</f>
        <v>46.05064</v>
      </c>
    </row>
    <row r="446" spans="1:12" s="298" customFormat="1" ht="15.75">
      <c r="A446" s="39"/>
      <c r="B446" s="94" t="s">
        <v>83</v>
      </c>
      <c r="C446" s="94" t="s">
        <v>20</v>
      </c>
      <c r="D446" s="94" t="s">
        <v>84</v>
      </c>
      <c r="E446" s="95" t="s">
        <v>85</v>
      </c>
      <c r="F446" s="94" t="s">
        <v>23</v>
      </c>
      <c r="G446" s="96"/>
      <c r="H446" s="97" t="s">
        <v>291</v>
      </c>
      <c r="I446" s="96" t="s">
        <v>292</v>
      </c>
      <c r="J446" s="96" t="s">
        <v>298</v>
      </c>
      <c r="K446" s="96" t="s">
        <v>290</v>
      </c>
      <c r="L446" s="297"/>
    </row>
    <row r="447" spans="2:11" ht="15">
      <c r="B447" s="55"/>
      <c r="C447" s="55"/>
      <c r="D447" s="55"/>
      <c r="E447" s="56" t="s">
        <v>319</v>
      </c>
      <c r="F447" s="55"/>
      <c r="G447" s="99"/>
      <c r="H447" s="98">
        <f>1.2+1.2+0.9</f>
        <v>3.3</v>
      </c>
      <c r="I447" s="99">
        <v>0.5</v>
      </c>
      <c r="J447" s="99">
        <v>3</v>
      </c>
      <c r="K447" s="100">
        <f>H447*I447*J447</f>
        <v>4.949999999999999</v>
      </c>
    </row>
    <row r="448" spans="2:11" ht="15">
      <c r="B448" s="55"/>
      <c r="C448" s="55"/>
      <c r="D448" s="55"/>
      <c r="E448" s="56" t="s">
        <v>320</v>
      </c>
      <c r="F448" s="55"/>
      <c r="G448" s="99"/>
      <c r="H448" s="100">
        <f>1.8*2</f>
        <v>3.6</v>
      </c>
      <c r="I448" s="100">
        <v>0.3</v>
      </c>
      <c r="J448" s="99"/>
      <c r="K448" s="100">
        <f>H448*I448</f>
        <v>1.08</v>
      </c>
    </row>
    <row r="449" spans="2:11" ht="15">
      <c r="B449" s="55"/>
      <c r="C449" s="55"/>
      <c r="D449" s="55"/>
      <c r="E449" s="56"/>
      <c r="F449" s="55"/>
      <c r="G449" s="99"/>
      <c r="H449" s="100"/>
      <c r="I449" s="100"/>
      <c r="J449" s="55"/>
      <c r="K449" s="106">
        <f>SUM(K447:K448)</f>
        <v>6.029999999999999</v>
      </c>
    </row>
    <row r="450" spans="2:11" ht="15.75">
      <c r="B450" s="91" t="s">
        <v>86</v>
      </c>
      <c r="C450" s="104"/>
      <c r="D450" s="104"/>
      <c r="E450" s="103" t="s">
        <v>321</v>
      </c>
      <c r="F450" s="104"/>
      <c r="G450" s="104"/>
      <c r="H450" s="104"/>
      <c r="I450" s="104"/>
      <c r="J450" s="104"/>
      <c r="K450" s="104"/>
    </row>
    <row r="451" spans="1:12" s="298" customFormat="1" ht="15.75">
      <c r="A451" s="39"/>
      <c r="B451" s="94" t="s">
        <v>88</v>
      </c>
      <c r="C451" s="94" t="s">
        <v>20</v>
      </c>
      <c r="D451" s="94" t="s">
        <v>77</v>
      </c>
      <c r="E451" s="95" t="s">
        <v>78</v>
      </c>
      <c r="F451" s="94" t="s">
        <v>55</v>
      </c>
      <c r="G451" s="96" t="s">
        <v>295</v>
      </c>
      <c r="H451" s="97" t="s">
        <v>291</v>
      </c>
      <c r="I451" s="96" t="s">
        <v>292</v>
      </c>
      <c r="J451" s="96" t="s">
        <v>298</v>
      </c>
      <c r="K451" s="96" t="s">
        <v>290</v>
      </c>
      <c r="L451" s="297"/>
    </row>
    <row r="452" spans="2:11" ht="15">
      <c r="B452" s="55"/>
      <c r="C452" s="55"/>
      <c r="D452" s="55"/>
      <c r="E452" s="56" t="s">
        <v>322</v>
      </c>
      <c r="F452" s="55"/>
      <c r="G452" s="100">
        <v>0.25</v>
      </c>
      <c r="H452" s="100">
        <v>0.53</v>
      </c>
      <c r="I452" s="100">
        <v>0.9</v>
      </c>
      <c r="J452" s="100">
        <v>3</v>
      </c>
      <c r="K452" s="100">
        <f>G452*H452*I452*J452/2</f>
        <v>0.178875</v>
      </c>
    </row>
    <row r="453" spans="2:11" ht="15">
      <c r="B453" s="55"/>
      <c r="C453" s="55"/>
      <c r="D453" s="55"/>
      <c r="E453" s="118" t="s">
        <v>323</v>
      </c>
      <c r="F453" s="55"/>
      <c r="G453" s="99">
        <v>0.3</v>
      </c>
      <c r="H453" s="99">
        <v>0.25</v>
      </c>
      <c r="I453" s="99">
        <f>1.8+0.4</f>
        <v>2.2</v>
      </c>
      <c r="J453" s="99">
        <v>3</v>
      </c>
      <c r="K453" s="100">
        <f>G453*H453*I453*J453</f>
        <v>0.495</v>
      </c>
    </row>
    <row r="454" spans="2:11" ht="18" customHeight="1">
      <c r="B454" s="56"/>
      <c r="C454" s="56"/>
      <c r="D454" s="56"/>
      <c r="E454" s="56"/>
      <c r="F454" s="55"/>
      <c r="G454" s="55"/>
      <c r="H454" s="55"/>
      <c r="I454" s="55"/>
      <c r="J454" s="55"/>
      <c r="K454" s="106">
        <f>SUM(K452:K453)</f>
        <v>0.673875</v>
      </c>
    </row>
    <row r="455" spans="1:12" s="298" customFormat="1" ht="15.75">
      <c r="A455" s="39"/>
      <c r="B455" s="94" t="s">
        <v>89</v>
      </c>
      <c r="C455" s="94" t="s">
        <v>20</v>
      </c>
      <c r="D455" s="94" t="s">
        <v>90</v>
      </c>
      <c r="E455" s="95" t="s">
        <v>91</v>
      </c>
      <c r="F455" s="94" t="s">
        <v>55</v>
      </c>
      <c r="G455" s="96" t="s">
        <v>295</v>
      </c>
      <c r="H455" s="97" t="s">
        <v>291</v>
      </c>
      <c r="I455" s="96" t="s">
        <v>292</v>
      </c>
      <c r="J455" s="96" t="s">
        <v>298</v>
      </c>
      <c r="K455" s="102" t="s">
        <v>290</v>
      </c>
      <c r="L455" s="297"/>
    </row>
    <row r="456" spans="2:11" ht="15">
      <c r="B456" s="55"/>
      <c r="C456" s="55"/>
      <c r="D456" s="55"/>
      <c r="E456" s="56" t="s">
        <v>322</v>
      </c>
      <c r="F456" s="55"/>
      <c r="G456" s="100">
        <v>0.25</v>
      </c>
      <c r="H456" s="100">
        <v>0.53</v>
      </c>
      <c r="I456" s="100">
        <v>0.9</v>
      </c>
      <c r="J456" s="100">
        <v>3</v>
      </c>
      <c r="K456" s="100">
        <f>G456*H456*I456*J456/2</f>
        <v>0.178875</v>
      </c>
    </row>
    <row r="457" spans="2:11" ht="15">
      <c r="B457" s="55"/>
      <c r="C457" s="55"/>
      <c r="D457" s="55"/>
      <c r="E457" s="118" t="s">
        <v>323</v>
      </c>
      <c r="F457" s="55"/>
      <c r="G457" s="99">
        <v>0.3</v>
      </c>
      <c r="H457" s="99">
        <v>0.25</v>
      </c>
      <c r="I457" s="99">
        <f>1.8+0.4</f>
        <v>2.2</v>
      </c>
      <c r="J457" s="99">
        <v>3</v>
      </c>
      <c r="K457" s="100">
        <f>G457*H457*I457*J457</f>
        <v>0.495</v>
      </c>
    </row>
    <row r="458" spans="2:11" ht="18" customHeight="1">
      <c r="B458" s="56"/>
      <c r="C458" s="56"/>
      <c r="D458" s="56"/>
      <c r="E458" s="56"/>
      <c r="F458" s="55"/>
      <c r="G458" s="55"/>
      <c r="H458" s="55"/>
      <c r="I458" s="55"/>
      <c r="J458" s="55"/>
      <c r="K458" s="106">
        <f>SUM(K456:K457)</f>
        <v>0.673875</v>
      </c>
    </row>
    <row r="459" spans="1:12" s="298" customFormat="1" ht="15.75">
      <c r="A459" s="39"/>
      <c r="B459" s="94" t="s">
        <v>92</v>
      </c>
      <c r="C459" s="94" t="s">
        <v>20</v>
      </c>
      <c r="D459" s="94" t="s">
        <v>71</v>
      </c>
      <c r="E459" s="95" t="s">
        <v>72</v>
      </c>
      <c r="F459" s="94" t="s">
        <v>73</v>
      </c>
      <c r="G459" s="96" t="s">
        <v>9</v>
      </c>
      <c r="H459" s="96" t="s">
        <v>291</v>
      </c>
      <c r="I459" s="96" t="s">
        <v>310</v>
      </c>
      <c r="J459" s="96" t="s">
        <v>298</v>
      </c>
      <c r="K459" s="96" t="s">
        <v>290</v>
      </c>
      <c r="L459" s="297"/>
    </row>
    <row r="460" spans="2:11" ht="15">
      <c r="B460" s="55"/>
      <c r="C460" s="55"/>
      <c r="D460" s="55"/>
      <c r="E460" s="56" t="s">
        <v>324</v>
      </c>
      <c r="F460" s="55"/>
      <c r="G460" s="100">
        <v>2</v>
      </c>
      <c r="H460" s="100">
        <v>1.6</v>
      </c>
      <c r="I460" s="115">
        <v>0.617</v>
      </c>
      <c r="J460" s="100">
        <v>3</v>
      </c>
      <c r="K460" s="100">
        <f aca="true" t="shared" si="3" ref="K460:K466">G460*H460*I460*J460</f>
        <v>5.9232000000000005</v>
      </c>
    </row>
    <row r="461" spans="2:11" ht="15">
      <c r="B461" s="55"/>
      <c r="C461" s="55"/>
      <c r="D461" s="55"/>
      <c r="E461" s="56" t="s">
        <v>325</v>
      </c>
      <c r="F461" s="55"/>
      <c r="G461" s="100">
        <v>2</v>
      </c>
      <c r="H461" s="100">
        <v>2.1</v>
      </c>
      <c r="I461" s="115">
        <v>0.617</v>
      </c>
      <c r="J461" s="100">
        <v>3</v>
      </c>
      <c r="K461" s="100">
        <f t="shared" si="3"/>
        <v>7.7742</v>
      </c>
    </row>
    <row r="462" spans="2:11" ht="15">
      <c r="B462" s="55"/>
      <c r="C462" s="55"/>
      <c r="D462" s="55"/>
      <c r="E462" s="56" t="s">
        <v>326</v>
      </c>
      <c r="F462" s="55"/>
      <c r="G462" s="99">
        <v>2</v>
      </c>
      <c r="H462" s="99">
        <v>2.3</v>
      </c>
      <c r="I462" s="99">
        <v>1.578</v>
      </c>
      <c r="J462" s="99">
        <v>3</v>
      </c>
      <c r="K462" s="100">
        <f t="shared" si="3"/>
        <v>21.7764</v>
      </c>
    </row>
    <row r="463" spans="2:11" ht="15">
      <c r="B463" s="55"/>
      <c r="C463" s="55"/>
      <c r="D463" s="55"/>
      <c r="E463" s="56" t="s">
        <v>327</v>
      </c>
      <c r="F463" s="55"/>
      <c r="G463" s="99">
        <v>2</v>
      </c>
      <c r="H463" s="99">
        <v>2.3</v>
      </c>
      <c r="I463" s="99">
        <v>0.963</v>
      </c>
      <c r="J463" s="99">
        <v>3</v>
      </c>
      <c r="K463" s="100">
        <f t="shared" si="3"/>
        <v>13.289399999999997</v>
      </c>
    </row>
    <row r="464" spans="2:11" ht="15">
      <c r="B464" s="55"/>
      <c r="C464" s="55"/>
      <c r="D464" s="55"/>
      <c r="E464" s="56" t="s">
        <v>354</v>
      </c>
      <c r="F464" s="55"/>
      <c r="G464" s="99">
        <v>1</v>
      </c>
      <c r="H464" s="99">
        <v>2.3</v>
      </c>
      <c r="I464" s="99">
        <v>0.617</v>
      </c>
      <c r="J464" s="99">
        <v>3</v>
      </c>
      <c r="K464" s="100">
        <f t="shared" si="3"/>
        <v>4.257299999999999</v>
      </c>
    </row>
    <row r="465" spans="2:11" ht="15">
      <c r="B465" s="55"/>
      <c r="C465" s="55"/>
      <c r="D465" s="55"/>
      <c r="E465" s="56" t="s">
        <v>328</v>
      </c>
      <c r="F465" s="55"/>
      <c r="G465" s="99">
        <v>4</v>
      </c>
      <c r="H465" s="99">
        <v>0.5</v>
      </c>
      <c r="I465" s="99">
        <v>0.395</v>
      </c>
      <c r="J465" s="99">
        <v>3</v>
      </c>
      <c r="K465" s="100">
        <f t="shared" si="3"/>
        <v>2.37</v>
      </c>
    </row>
    <row r="466" spans="2:11" ht="15">
      <c r="B466" s="55"/>
      <c r="C466" s="55"/>
      <c r="D466" s="55"/>
      <c r="E466" s="56" t="s">
        <v>329</v>
      </c>
      <c r="F466" s="55"/>
      <c r="G466" s="119">
        <f>(1.8+0.4)/0.15</f>
        <v>14.666666666666668</v>
      </c>
      <c r="H466" s="99">
        <f>0.5+0.6-0.12+0.06</f>
        <v>1.04</v>
      </c>
      <c r="I466" s="99">
        <v>0.245</v>
      </c>
      <c r="J466" s="99">
        <v>3</v>
      </c>
      <c r="K466" s="100">
        <f t="shared" si="3"/>
        <v>11.211200000000002</v>
      </c>
    </row>
    <row r="467" spans="2:11" ht="18" customHeight="1">
      <c r="B467" s="56"/>
      <c r="C467" s="56"/>
      <c r="D467" s="56"/>
      <c r="E467" s="56"/>
      <c r="F467" s="55"/>
      <c r="G467" s="55"/>
      <c r="H467" s="55"/>
      <c r="I467" s="55"/>
      <c r="J467" s="55"/>
      <c r="K467" s="106">
        <f>SUM(K460:K466)</f>
        <v>66.6017</v>
      </c>
    </row>
    <row r="468" spans="1:12" s="298" customFormat="1" ht="15.75">
      <c r="A468" s="39"/>
      <c r="B468" s="94" t="s">
        <v>93</v>
      </c>
      <c r="C468" s="94" t="s">
        <v>20</v>
      </c>
      <c r="D468" s="94" t="s">
        <v>94</v>
      </c>
      <c r="E468" s="95" t="s">
        <v>95</v>
      </c>
      <c r="F468" s="94" t="s">
        <v>23</v>
      </c>
      <c r="G468" s="94" t="s">
        <v>295</v>
      </c>
      <c r="H468" s="97" t="s">
        <v>291</v>
      </c>
      <c r="I468" s="94" t="s">
        <v>292</v>
      </c>
      <c r="J468" s="94" t="s">
        <v>298</v>
      </c>
      <c r="K468" s="114" t="s">
        <v>290</v>
      </c>
      <c r="L468" s="297"/>
    </row>
    <row r="469" spans="2:11" ht="15">
      <c r="B469" s="55"/>
      <c r="C469" s="55"/>
      <c r="D469" s="55"/>
      <c r="E469" s="56" t="s">
        <v>323</v>
      </c>
      <c r="F469" s="55"/>
      <c r="G469" s="55">
        <v>0.25</v>
      </c>
      <c r="H469" s="55"/>
      <c r="I469" s="55">
        <f>1.8+0.4</f>
        <v>2.2</v>
      </c>
      <c r="J469" s="55">
        <v>6</v>
      </c>
      <c r="K469" s="105">
        <f>G469*I469*J469</f>
        <v>3.3000000000000003</v>
      </c>
    </row>
    <row r="470" spans="2:11" ht="15">
      <c r="B470" s="55"/>
      <c r="C470" s="55"/>
      <c r="D470" s="55"/>
      <c r="E470" s="56" t="s">
        <v>330</v>
      </c>
      <c r="F470" s="55"/>
      <c r="G470" s="55">
        <v>0.25</v>
      </c>
      <c r="H470" s="55">
        <v>0.9</v>
      </c>
      <c r="I470" s="55"/>
      <c r="J470" s="55">
        <v>3</v>
      </c>
      <c r="K470" s="105">
        <f>G470*H470*J470</f>
        <v>0.675</v>
      </c>
    </row>
    <row r="471" spans="2:11" ht="18" customHeight="1">
      <c r="B471" s="56"/>
      <c r="C471" s="56"/>
      <c r="D471" s="56"/>
      <c r="E471" s="56" t="s">
        <v>331</v>
      </c>
      <c r="F471" s="55"/>
      <c r="G471" s="55">
        <v>0.53</v>
      </c>
      <c r="H471" s="55">
        <v>0.9</v>
      </c>
      <c r="I471" s="55"/>
      <c r="J471" s="55">
        <v>3</v>
      </c>
      <c r="K471" s="105">
        <f>G471*H471*J471</f>
        <v>1.431</v>
      </c>
    </row>
    <row r="472" spans="2:11" ht="18" customHeight="1">
      <c r="B472" s="56"/>
      <c r="C472" s="56"/>
      <c r="D472" s="56"/>
      <c r="E472" s="56"/>
      <c r="F472" s="55"/>
      <c r="G472" s="55"/>
      <c r="H472" s="55"/>
      <c r="I472" s="55"/>
      <c r="J472" s="55"/>
      <c r="K472" s="106">
        <f>SUM(K469:K471)</f>
        <v>5.406000000000001</v>
      </c>
    </row>
    <row r="473" spans="2:11" ht="15.75">
      <c r="B473" s="91" t="s">
        <v>96</v>
      </c>
      <c r="C473" s="104"/>
      <c r="D473" s="104"/>
      <c r="E473" s="103" t="s">
        <v>97</v>
      </c>
      <c r="F473" s="104"/>
      <c r="G473" s="104"/>
      <c r="H473" s="104"/>
      <c r="I473" s="104"/>
      <c r="J473" s="104"/>
      <c r="K473" s="104"/>
    </row>
    <row r="474" spans="1:12" s="298" customFormat="1" ht="15.75">
      <c r="A474" s="39"/>
      <c r="B474" s="94" t="s">
        <v>98</v>
      </c>
      <c r="C474" s="94" t="s">
        <v>20</v>
      </c>
      <c r="D474" s="94" t="s">
        <v>77</v>
      </c>
      <c r="E474" s="95" t="s">
        <v>78</v>
      </c>
      <c r="F474" s="94" t="s">
        <v>55</v>
      </c>
      <c r="G474" s="96" t="s">
        <v>295</v>
      </c>
      <c r="H474" s="97" t="s">
        <v>291</v>
      </c>
      <c r="I474" s="96" t="s">
        <v>292</v>
      </c>
      <c r="J474" s="96" t="s">
        <v>298</v>
      </c>
      <c r="K474" s="102" t="s">
        <v>290</v>
      </c>
      <c r="L474" s="297"/>
    </row>
    <row r="475" spans="2:11" ht="15">
      <c r="B475" s="55"/>
      <c r="C475" s="55"/>
      <c r="D475" s="55"/>
      <c r="E475" s="56"/>
      <c r="F475" s="55"/>
      <c r="G475" s="99">
        <v>0.2</v>
      </c>
      <c r="H475" s="99">
        <v>4.48</v>
      </c>
      <c r="I475" s="99">
        <v>0.3</v>
      </c>
      <c r="J475" s="99">
        <v>3</v>
      </c>
      <c r="K475" s="100">
        <f>G475*H475*I475*J475</f>
        <v>0.8064000000000001</v>
      </c>
    </row>
    <row r="476" spans="1:12" s="298" customFormat="1" ht="15.75">
      <c r="A476" s="39"/>
      <c r="B476" s="94" t="s">
        <v>99</v>
      </c>
      <c r="C476" s="94" t="s">
        <v>20</v>
      </c>
      <c r="D476" s="94" t="s">
        <v>90</v>
      </c>
      <c r="E476" s="95" t="s">
        <v>91</v>
      </c>
      <c r="F476" s="94" t="s">
        <v>55</v>
      </c>
      <c r="G476" s="96" t="s">
        <v>295</v>
      </c>
      <c r="H476" s="97" t="s">
        <v>291</v>
      </c>
      <c r="I476" s="96" t="s">
        <v>292</v>
      </c>
      <c r="J476" s="96" t="s">
        <v>298</v>
      </c>
      <c r="K476" s="102" t="s">
        <v>290</v>
      </c>
      <c r="L476" s="297"/>
    </row>
    <row r="477" spans="2:11" ht="15">
      <c r="B477" s="55"/>
      <c r="C477" s="55"/>
      <c r="D477" s="55"/>
      <c r="E477" s="56"/>
      <c r="F477" s="55"/>
      <c r="G477" s="99">
        <v>0.2</v>
      </c>
      <c r="H477" s="99">
        <v>4.48</v>
      </c>
      <c r="I477" s="99">
        <v>0.3</v>
      </c>
      <c r="J477" s="99">
        <v>3</v>
      </c>
      <c r="K477" s="100">
        <f>G477*H477*I477*J477</f>
        <v>0.8064000000000001</v>
      </c>
    </row>
    <row r="478" spans="1:12" s="298" customFormat="1" ht="15.75">
      <c r="A478" s="39"/>
      <c r="B478" s="94" t="s">
        <v>100</v>
      </c>
      <c r="C478" s="94" t="s">
        <v>20</v>
      </c>
      <c r="D478" s="94" t="s">
        <v>71</v>
      </c>
      <c r="E478" s="95" t="s">
        <v>72</v>
      </c>
      <c r="F478" s="94" t="s">
        <v>73</v>
      </c>
      <c r="G478" s="96" t="s">
        <v>9</v>
      </c>
      <c r="H478" s="96" t="s">
        <v>291</v>
      </c>
      <c r="I478" s="96" t="s">
        <v>310</v>
      </c>
      <c r="J478" s="96" t="s">
        <v>298</v>
      </c>
      <c r="K478" s="96" t="s">
        <v>290</v>
      </c>
      <c r="L478" s="297"/>
    </row>
    <row r="479" spans="2:11" ht="15">
      <c r="B479" s="55"/>
      <c r="C479" s="55"/>
      <c r="D479" s="55"/>
      <c r="E479" s="56" t="s">
        <v>332</v>
      </c>
      <c r="F479" s="55"/>
      <c r="G479" s="99">
        <v>6</v>
      </c>
      <c r="H479" s="99">
        <v>4.48</v>
      </c>
      <c r="I479" s="99">
        <v>0.617</v>
      </c>
      <c r="J479" s="99"/>
      <c r="K479" s="100">
        <f>G479*H479*I479</f>
        <v>16.584960000000002</v>
      </c>
    </row>
    <row r="480" spans="2:11" ht="15">
      <c r="B480" s="55"/>
      <c r="C480" s="55"/>
      <c r="D480" s="55"/>
      <c r="E480" s="56" t="s">
        <v>333</v>
      </c>
      <c r="F480" s="55"/>
      <c r="G480" s="99">
        <v>6</v>
      </c>
      <c r="H480" s="99">
        <v>4.48</v>
      </c>
      <c r="I480" s="99">
        <v>0.963</v>
      </c>
      <c r="J480" s="99"/>
      <c r="K480" s="100">
        <f>G480*H480*I480</f>
        <v>25.885440000000003</v>
      </c>
    </row>
    <row r="481" spans="2:11" ht="15">
      <c r="B481" s="55"/>
      <c r="C481" s="55"/>
      <c r="D481" s="55"/>
      <c r="E481" s="56" t="s">
        <v>329</v>
      </c>
      <c r="F481" s="55"/>
      <c r="G481" s="119">
        <f>4.48*2/0.15</f>
        <v>59.73333333333334</v>
      </c>
      <c r="H481" s="99">
        <f>0.14+0.14+0.24+0.24+0.06</f>
        <v>0.8200000000000001</v>
      </c>
      <c r="I481" s="99">
        <v>0.245</v>
      </c>
      <c r="J481" s="99"/>
      <c r="K481" s="100">
        <f>G481*H481*I481</f>
        <v>12.00042666666667</v>
      </c>
    </row>
    <row r="482" spans="2:11" ht="18" customHeight="1">
      <c r="B482" s="56"/>
      <c r="C482" s="56"/>
      <c r="D482" s="56"/>
      <c r="E482" s="56"/>
      <c r="F482" s="55"/>
      <c r="G482" s="55"/>
      <c r="H482" s="55"/>
      <c r="I482" s="55"/>
      <c r="J482" s="55"/>
      <c r="K482" s="106">
        <f>SUM(K479:K481)</f>
        <v>54.470826666666674</v>
      </c>
    </row>
    <row r="483" spans="1:12" s="298" customFormat="1" ht="15.75">
      <c r="A483" s="39"/>
      <c r="B483" s="94" t="s">
        <v>101</v>
      </c>
      <c r="C483" s="94" t="s">
        <v>20</v>
      </c>
      <c r="D483" s="94" t="s">
        <v>94</v>
      </c>
      <c r="E483" s="95" t="s">
        <v>95</v>
      </c>
      <c r="F483" s="94" t="s">
        <v>23</v>
      </c>
      <c r="G483" s="96" t="s">
        <v>9</v>
      </c>
      <c r="H483" s="97" t="s">
        <v>291</v>
      </c>
      <c r="I483" s="96" t="s">
        <v>292</v>
      </c>
      <c r="J483" s="96" t="s">
        <v>298</v>
      </c>
      <c r="K483" s="102" t="s">
        <v>290</v>
      </c>
      <c r="L483" s="297"/>
    </row>
    <row r="484" spans="2:11" ht="15">
      <c r="B484" s="55"/>
      <c r="C484" s="55"/>
      <c r="D484" s="55"/>
      <c r="E484" s="56" t="s">
        <v>351</v>
      </c>
      <c r="F484" s="55"/>
      <c r="G484" s="99">
        <v>2</v>
      </c>
      <c r="H484" s="99">
        <v>4.48</v>
      </c>
      <c r="I484" s="99">
        <v>0.3</v>
      </c>
      <c r="J484" s="99">
        <v>2</v>
      </c>
      <c r="K484" s="100">
        <f>G484*H484*I484*J484</f>
        <v>5.376</v>
      </c>
    </row>
    <row r="485" spans="2:11" ht="15">
      <c r="B485" s="120"/>
      <c r="C485" s="120"/>
      <c r="D485" s="120"/>
      <c r="E485" s="107"/>
      <c r="F485" s="120"/>
      <c r="G485" s="121"/>
      <c r="H485" s="121"/>
      <c r="I485" s="121"/>
      <c r="J485" s="121"/>
      <c r="K485" s="106">
        <f>K484</f>
        <v>5.376</v>
      </c>
    </row>
    <row r="486" spans="2:11" ht="15.75">
      <c r="B486" s="91" t="s">
        <v>102</v>
      </c>
      <c r="C486" s="104"/>
      <c r="D486" s="104"/>
      <c r="E486" s="103" t="s">
        <v>103</v>
      </c>
      <c r="F486" s="104"/>
      <c r="G486" s="104"/>
      <c r="H486" s="104"/>
      <c r="I486" s="104"/>
      <c r="J486" s="104"/>
      <c r="K486" s="104"/>
    </row>
    <row r="487" spans="1:12" s="298" customFormat="1" ht="15.75">
      <c r="A487" s="39"/>
      <c r="B487" s="94" t="s">
        <v>104</v>
      </c>
      <c r="C487" s="94" t="s">
        <v>20</v>
      </c>
      <c r="D487" s="94" t="s">
        <v>105</v>
      </c>
      <c r="E487" s="95" t="s">
        <v>106</v>
      </c>
      <c r="F487" s="94" t="s">
        <v>23</v>
      </c>
      <c r="G487" s="96" t="s">
        <v>335</v>
      </c>
      <c r="H487" s="97" t="s">
        <v>291</v>
      </c>
      <c r="I487" s="96" t="s">
        <v>292</v>
      </c>
      <c r="J487" s="96" t="s">
        <v>298</v>
      </c>
      <c r="K487" s="102" t="s">
        <v>290</v>
      </c>
      <c r="L487" s="297"/>
    </row>
    <row r="488" spans="2:11" ht="15">
      <c r="B488" s="55"/>
      <c r="C488" s="55"/>
      <c r="D488" s="55"/>
      <c r="E488" s="56" t="s">
        <v>297</v>
      </c>
      <c r="F488" s="55"/>
      <c r="G488" s="99">
        <v>6</v>
      </c>
      <c r="H488" s="99">
        <f>4.48-0.6</f>
        <v>3.8800000000000003</v>
      </c>
      <c r="I488" s="99">
        <v>0.2</v>
      </c>
      <c r="J488" s="99"/>
      <c r="K488" s="99">
        <f>G488*H488*I488</f>
        <v>4.656000000000001</v>
      </c>
    </row>
    <row r="489" spans="2:11" ht="15">
      <c r="B489" s="55"/>
      <c r="C489" s="55"/>
      <c r="D489" s="55"/>
      <c r="E489" s="56" t="s">
        <v>305</v>
      </c>
      <c r="F489" s="55"/>
      <c r="G489" s="99">
        <v>2</v>
      </c>
      <c r="H489" s="99">
        <f>4.48-0.6</f>
        <v>3.8800000000000003</v>
      </c>
      <c r="I489" s="99">
        <v>0.2</v>
      </c>
      <c r="J489" s="99"/>
      <c r="K489" s="99">
        <f>G489*H489*I489</f>
        <v>1.5520000000000003</v>
      </c>
    </row>
    <row r="490" spans="2:11" ht="18" customHeight="1">
      <c r="B490" s="56"/>
      <c r="C490" s="56"/>
      <c r="D490" s="56"/>
      <c r="E490" s="56"/>
      <c r="F490" s="55"/>
      <c r="G490" s="55"/>
      <c r="H490" s="55"/>
      <c r="I490" s="55"/>
      <c r="J490" s="55"/>
      <c r="K490" s="122">
        <f>SUM(K488:K489)</f>
        <v>6.208000000000001</v>
      </c>
    </row>
    <row r="491" spans="1:12" s="298" customFormat="1" ht="31.5">
      <c r="A491" s="39"/>
      <c r="B491" s="94" t="s">
        <v>107</v>
      </c>
      <c r="C491" s="94" t="s">
        <v>20</v>
      </c>
      <c r="D491" s="94" t="s">
        <v>108</v>
      </c>
      <c r="E491" s="101" t="s">
        <v>109</v>
      </c>
      <c r="F491" s="94" t="s">
        <v>55</v>
      </c>
      <c r="G491" s="96" t="s">
        <v>295</v>
      </c>
      <c r="H491" s="97" t="s">
        <v>291</v>
      </c>
      <c r="I491" s="96" t="s">
        <v>292</v>
      </c>
      <c r="J491" s="96" t="s">
        <v>298</v>
      </c>
      <c r="K491" s="102" t="s">
        <v>290</v>
      </c>
      <c r="L491" s="297"/>
    </row>
    <row r="492" spans="2:11" ht="15">
      <c r="B492" s="55"/>
      <c r="C492" s="55"/>
      <c r="D492" s="55"/>
      <c r="E492" s="107" t="s">
        <v>395</v>
      </c>
      <c r="F492" s="55"/>
      <c r="G492" s="99">
        <v>0.02</v>
      </c>
      <c r="H492" s="99">
        <v>4.48</v>
      </c>
      <c r="I492" s="100">
        <f>1.8+0.4</f>
        <v>2.2</v>
      </c>
      <c r="J492" s="99">
        <v>2</v>
      </c>
      <c r="K492" s="100">
        <f>G492*H492*I492*J492</f>
        <v>0.3942400000000001</v>
      </c>
    </row>
    <row r="493" spans="2:11" ht="15">
      <c r="B493" s="55"/>
      <c r="C493" s="55"/>
      <c r="D493" s="55"/>
      <c r="E493" s="141" t="s">
        <v>396</v>
      </c>
      <c r="F493" s="55"/>
      <c r="G493" s="99">
        <v>0.02</v>
      </c>
      <c r="H493" s="99">
        <v>4.48</v>
      </c>
      <c r="I493" s="100">
        <v>0.4</v>
      </c>
      <c r="J493" s="99"/>
      <c r="K493" s="100">
        <f>G493*H493*I493</f>
        <v>0.035840000000000004</v>
      </c>
    </row>
    <row r="494" spans="2:11" ht="15">
      <c r="B494" s="55"/>
      <c r="C494" s="55"/>
      <c r="D494" s="55"/>
      <c r="E494" s="107" t="s">
        <v>336</v>
      </c>
      <c r="F494" s="55"/>
      <c r="G494" s="99">
        <v>0.2</v>
      </c>
      <c r="H494" s="99">
        <v>4.48</v>
      </c>
      <c r="I494" s="99">
        <v>0.02</v>
      </c>
      <c r="J494" s="99"/>
      <c r="K494" s="100">
        <f>G494*H494*I494</f>
        <v>0.017920000000000002</v>
      </c>
    </row>
    <row r="495" spans="2:11" ht="18" customHeight="1">
      <c r="B495" s="56"/>
      <c r="C495" s="56"/>
      <c r="D495" s="56"/>
      <c r="E495" s="56"/>
      <c r="F495" s="55"/>
      <c r="G495" s="55"/>
      <c r="H495" s="55"/>
      <c r="I495" s="55"/>
      <c r="J495" s="55"/>
      <c r="K495" s="106">
        <f>SUM(K492:K494)</f>
        <v>0.44800000000000006</v>
      </c>
    </row>
    <row r="496" spans="1:12" s="298" customFormat="1" ht="15.75">
      <c r="A496" s="39"/>
      <c r="B496" s="123" t="s">
        <v>110</v>
      </c>
      <c r="C496" s="123" t="s">
        <v>20</v>
      </c>
      <c r="D496" s="123" t="s">
        <v>111</v>
      </c>
      <c r="E496" s="124" t="s">
        <v>112</v>
      </c>
      <c r="F496" s="123" t="s">
        <v>23</v>
      </c>
      <c r="G496" s="123" t="s">
        <v>295</v>
      </c>
      <c r="H496" s="125" t="s">
        <v>291</v>
      </c>
      <c r="I496" s="123" t="s">
        <v>292</v>
      </c>
      <c r="J496" s="123" t="s">
        <v>303</v>
      </c>
      <c r="K496" s="126" t="s">
        <v>290</v>
      </c>
      <c r="L496" s="297"/>
    </row>
    <row r="497" spans="2:11" ht="15">
      <c r="B497" s="57"/>
      <c r="C497" s="57"/>
      <c r="D497" s="57"/>
      <c r="E497" s="107" t="s">
        <v>395</v>
      </c>
      <c r="F497" s="57"/>
      <c r="G497" s="57"/>
      <c r="H497" s="57">
        <v>4.48</v>
      </c>
      <c r="I497" s="128">
        <f>1.8+0.4</f>
        <v>2.2</v>
      </c>
      <c r="J497" s="57">
        <v>2</v>
      </c>
      <c r="K497" s="128">
        <f>H497*I497*J497</f>
        <v>19.712000000000003</v>
      </c>
    </row>
    <row r="498" spans="2:11" ht="15">
      <c r="B498" s="57"/>
      <c r="C498" s="57"/>
      <c r="D498" s="57"/>
      <c r="E498" s="141" t="s">
        <v>396</v>
      </c>
      <c r="F498" s="57"/>
      <c r="G498" s="57"/>
      <c r="H498" s="57">
        <v>4.48</v>
      </c>
      <c r="I498" s="128">
        <v>0.4</v>
      </c>
      <c r="J498" s="57"/>
      <c r="K498" s="128">
        <f>H498*I498</f>
        <v>1.7920000000000003</v>
      </c>
    </row>
    <row r="499" spans="2:11" ht="15">
      <c r="B499" s="57"/>
      <c r="C499" s="57"/>
      <c r="D499" s="57"/>
      <c r="E499" s="107" t="s">
        <v>336</v>
      </c>
      <c r="F499" s="57"/>
      <c r="G499" s="57">
        <v>0.2</v>
      </c>
      <c r="H499" s="57">
        <v>4.48</v>
      </c>
      <c r="I499" s="57"/>
      <c r="J499" s="57"/>
      <c r="K499" s="128">
        <f>G499*H499</f>
        <v>0.8960000000000001</v>
      </c>
    </row>
    <row r="500" spans="2:11" ht="18" customHeight="1">
      <c r="B500" s="129"/>
      <c r="C500" s="129"/>
      <c r="D500" s="129"/>
      <c r="E500" s="129"/>
      <c r="F500" s="57"/>
      <c r="G500" s="57"/>
      <c r="H500" s="57"/>
      <c r="I500" s="57"/>
      <c r="J500" s="57"/>
      <c r="K500" s="130">
        <f>SUM(K497:K499)</f>
        <v>22.400000000000006</v>
      </c>
    </row>
    <row r="501" spans="1:12" s="298" customFormat="1" ht="15.75">
      <c r="A501" s="39"/>
      <c r="B501" s="123" t="s">
        <v>113</v>
      </c>
      <c r="C501" s="123" t="s">
        <v>20</v>
      </c>
      <c r="D501" s="123" t="s">
        <v>71</v>
      </c>
      <c r="E501" s="124" t="s">
        <v>72</v>
      </c>
      <c r="F501" s="123" t="s">
        <v>73</v>
      </c>
      <c r="G501" s="123" t="s">
        <v>9</v>
      </c>
      <c r="H501" s="123" t="s">
        <v>291</v>
      </c>
      <c r="I501" s="123" t="s">
        <v>310</v>
      </c>
      <c r="J501" s="123"/>
      <c r="K501" s="123" t="s">
        <v>290</v>
      </c>
      <c r="L501" s="297"/>
    </row>
    <row r="502" spans="2:11" ht="15">
      <c r="B502" s="57"/>
      <c r="C502" s="57"/>
      <c r="D502" s="57"/>
      <c r="E502" s="129" t="s">
        <v>337</v>
      </c>
      <c r="F502" s="57"/>
      <c r="G502" s="57">
        <v>2</v>
      </c>
      <c r="H502" s="57">
        <v>4.48</v>
      </c>
      <c r="I502" s="57">
        <v>0.245</v>
      </c>
      <c r="J502" s="57"/>
      <c r="K502" s="128">
        <f>G502*H502*I502</f>
        <v>2.1952000000000003</v>
      </c>
    </row>
    <row r="503" spans="2:11" ht="15">
      <c r="B503" s="57"/>
      <c r="C503" s="57"/>
      <c r="D503" s="57"/>
      <c r="E503" s="129" t="s">
        <v>338</v>
      </c>
      <c r="F503" s="57"/>
      <c r="G503" s="57">
        <v>1</v>
      </c>
      <c r="H503" s="57">
        <v>4.48</v>
      </c>
      <c r="I503" s="57">
        <v>0.395</v>
      </c>
      <c r="J503" s="57"/>
      <c r="K503" s="128">
        <f>G503*H503*I503</f>
        <v>1.7696000000000003</v>
      </c>
    </row>
    <row r="504" spans="2:11" ht="18" customHeight="1">
      <c r="B504" s="129"/>
      <c r="C504" s="129"/>
      <c r="D504" s="129"/>
      <c r="E504" s="129"/>
      <c r="F504" s="57"/>
      <c r="G504" s="57"/>
      <c r="H504" s="57"/>
      <c r="I504" s="57"/>
      <c r="J504" s="57"/>
      <c r="K504" s="130">
        <f>SUM(K502:K503)</f>
        <v>3.9648000000000003</v>
      </c>
    </row>
    <row r="505" spans="1:12" s="298" customFormat="1" ht="31.5">
      <c r="A505" s="39"/>
      <c r="B505" s="123" t="s">
        <v>114</v>
      </c>
      <c r="C505" s="123" t="s">
        <v>20</v>
      </c>
      <c r="D505" s="123" t="s">
        <v>115</v>
      </c>
      <c r="E505" s="131" t="s">
        <v>116</v>
      </c>
      <c r="F505" s="123" t="s">
        <v>23</v>
      </c>
      <c r="G505" s="123"/>
      <c r="H505" s="125" t="s">
        <v>291</v>
      </c>
      <c r="I505" s="123" t="s">
        <v>292</v>
      </c>
      <c r="J505" s="123"/>
      <c r="K505" s="126" t="s">
        <v>290</v>
      </c>
      <c r="L505" s="297"/>
    </row>
    <row r="506" spans="2:11" ht="15">
      <c r="B506" s="57"/>
      <c r="C506" s="57"/>
      <c r="D506" s="57"/>
      <c r="E506" s="127"/>
      <c r="F506" s="57"/>
      <c r="G506" s="57"/>
      <c r="H506" s="57">
        <v>4.48</v>
      </c>
      <c r="I506" s="57">
        <v>1.1</v>
      </c>
      <c r="J506" s="57"/>
      <c r="K506" s="128">
        <f>H506*I506</f>
        <v>4.928000000000001</v>
      </c>
    </row>
    <row r="507" spans="1:12" s="298" customFormat="1" ht="15.75">
      <c r="A507" s="39"/>
      <c r="B507" s="123" t="s">
        <v>117</v>
      </c>
      <c r="C507" s="123" t="s">
        <v>20</v>
      </c>
      <c r="D507" s="123" t="s">
        <v>118</v>
      </c>
      <c r="E507" s="124" t="s">
        <v>119</v>
      </c>
      <c r="F507" s="123" t="s">
        <v>23</v>
      </c>
      <c r="G507" s="123"/>
      <c r="H507" s="125" t="s">
        <v>291</v>
      </c>
      <c r="I507" s="123" t="s">
        <v>292</v>
      </c>
      <c r="J507" s="123" t="s">
        <v>298</v>
      </c>
      <c r="K507" s="126" t="s">
        <v>290</v>
      </c>
      <c r="L507" s="297"/>
    </row>
    <row r="508" spans="2:11" ht="15">
      <c r="B508" s="57"/>
      <c r="C508" s="57"/>
      <c r="D508" s="57"/>
      <c r="E508" s="107" t="s">
        <v>395</v>
      </c>
      <c r="F508" s="57"/>
      <c r="G508" s="57"/>
      <c r="H508" s="57">
        <v>4.48</v>
      </c>
      <c r="I508" s="128">
        <f>1.8+0.4</f>
        <v>2.2</v>
      </c>
      <c r="J508" s="57">
        <v>2</v>
      </c>
      <c r="K508" s="128">
        <f>H508*I508*J508</f>
        <v>19.712000000000003</v>
      </c>
    </row>
    <row r="509" spans="2:11" ht="15">
      <c r="B509" s="57"/>
      <c r="C509" s="57"/>
      <c r="D509" s="57"/>
      <c r="E509" s="141" t="s">
        <v>396</v>
      </c>
      <c r="F509" s="57"/>
      <c r="G509" s="57"/>
      <c r="H509" s="57">
        <v>4.48</v>
      </c>
      <c r="I509" s="128">
        <v>0.4</v>
      </c>
      <c r="J509" s="57"/>
      <c r="K509" s="128">
        <f>H509*I509</f>
        <v>1.7920000000000003</v>
      </c>
    </row>
    <row r="510" spans="2:11" ht="15">
      <c r="B510" s="57"/>
      <c r="C510" s="57"/>
      <c r="D510" s="57"/>
      <c r="E510" s="107" t="s">
        <v>336</v>
      </c>
      <c r="F510" s="57"/>
      <c r="G510" s="57">
        <v>0.2</v>
      </c>
      <c r="H510" s="57">
        <v>4.48</v>
      </c>
      <c r="I510" s="57"/>
      <c r="J510" s="57"/>
      <c r="K510" s="128">
        <f>G510*H510</f>
        <v>0.8960000000000001</v>
      </c>
    </row>
    <row r="511" spans="2:11" ht="18" customHeight="1">
      <c r="B511" s="129"/>
      <c r="C511" s="129"/>
      <c r="D511" s="129"/>
      <c r="E511" s="129"/>
      <c r="F511" s="57"/>
      <c r="G511" s="57"/>
      <c r="H511" s="57"/>
      <c r="I511" s="57"/>
      <c r="J511" s="57"/>
      <c r="K511" s="130">
        <f>SUM(K508:K510)</f>
        <v>22.400000000000006</v>
      </c>
    </row>
    <row r="512" spans="2:11" ht="15.75">
      <c r="B512" s="92" t="s">
        <v>120</v>
      </c>
      <c r="C512" s="132"/>
      <c r="D512" s="132"/>
      <c r="E512" s="93" t="s">
        <v>121</v>
      </c>
      <c r="F512" s="132"/>
      <c r="G512" s="132"/>
      <c r="H512" s="132"/>
      <c r="I512" s="132"/>
      <c r="J512" s="132"/>
      <c r="K512" s="132"/>
    </row>
    <row r="513" spans="1:12" s="298" customFormat="1" ht="15.75">
      <c r="A513" s="39"/>
      <c r="B513" s="55" t="s">
        <v>76</v>
      </c>
      <c r="C513" s="55" t="s">
        <v>20</v>
      </c>
      <c r="D513" s="55" t="s">
        <v>77</v>
      </c>
      <c r="E513" s="56" t="s">
        <v>78</v>
      </c>
      <c r="F513" s="123" t="s">
        <v>55</v>
      </c>
      <c r="G513" s="125" t="s">
        <v>295</v>
      </c>
      <c r="H513" s="125" t="s">
        <v>291</v>
      </c>
      <c r="I513" s="123" t="s">
        <v>292</v>
      </c>
      <c r="J513" s="123" t="s">
        <v>298</v>
      </c>
      <c r="K513" s="123" t="s">
        <v>290</v>
      </c>
      <c r="L513" s="299"/>
    </row>
    <row r="514" spans="2:11" ht="15">
      <c r="B514" s="57"/>
      <c r="C514" s="57"/>
      <c r="D514" s="57"/>
      <c r="E514" s="127" t="s">
        <v>340</v>
      </c>
      <c r="F514" s="57"/>
      <c r="G514" s="128">
        <v>0.2</v>
      </c>
      <c r="H514" s="128">
        <v>4.48</v>
      </c>
      <c r="I514" s="128">
        <v>1.8</v>
      </c>
      <c r="J514" s="128"/>
      <c r="K514" s="249">
        <f>G514*H514*I514</f>
        <v>1.6128000000000002</v>
      </c>
    </row>
    <row r="515" spans="1:12" s="298" customFormat="1" ht="15.75">
      <c r="A515" s="39"/>
      <c r="B515" s="55" t="s">
        <v>79</v>
      </c>
      <c r="C515" s="55" t="s">
        <v>20</v>
      </c>
      <c r="D515" s="55" t="s">
        <v>80</v>
      </c>
      <c r="E515" s="56" t="s">
        <v>81</v>
      </c>
      <c r="F515" s="123" t="s">
        <v>55</v>
      </c>
      <c r="G515" s="125" t="s">
        <v>295</v>
      </c>
      <c r="H515" s="125" t="s">
        <v>291</v>
      </c>
      <c r="I515" s="123" t="s">
        <v>292</v>
      </c>
      <c r="J515" s="123" t="s">
        <v>298</v>
      </c>
      <c r="K515" s="123" t="s">
        <v>290</v>
      </c>
      <c r="L515" s="297"/>
    </row>
    <row r="516" spans="2:11" ht="18" customHeight="1">
      <c r="B516" s="129"/>
      <c r="C516" s="129"/>
      <c r="D516" s="129"/>
      <c r="E516" s="127" t="s">
        <v>341</v>
      </c>
      <c r="F516" s="57"/>
      <c r="G516" s="128">
        <v>0.2</v>
      </c>
      <c r="H516" s="128">
        <v>4.48</v>
      </c>
      <c r="I516" s="128">
        <v>1.8</v>
      </c>
      <c r="J516" s="128"/>
      <c r="K516" s="249">
        <f>G516*H516*I516</f>
        <v>1.6128000000000002</v>
      </c>
    </row>
    <row r="517" spans="2:11" ht="15">
      <c r="B517" s="118"/>
      <c r="C517" s="118"/>
      <c r="D517" s="118"/>
      <c r="E517" s="118"/>
      <c r="F517" s="99"/>
      <c r="G517" s="99"/>
      <c r="H517" s="99"/>
      <c r="I517" s="99"/>
      <c r="J517" s="99"/>
      <c r="K517" s="99"/>
    </row>
    <row r="518" spans="2:11" ht="15" customHeight="1">
      <c r="B518" s="315" t="s">
        <v>355</v>
      </c>
      <c r="C518" s="315"/>
      <c r="D518" s="315"/>
      <c r="E518" s="315"/>
      <c r="F518" s="315"/>
      <c r="G518" s="315"/>
      <c r="H518" s="315"/>
      <c r="I518" s="315"/>
      <c r="J518" s="315"/>
      <c r="K518" s="315"/>
    </row>
    <row r="519" spans="2:11" ht="15" customHeight="1">
      <c r="B519" s="315"/>
      <c r="C519" s="315"/>
      <c r="D519" s="315"/>
      <c r="E519" s="315"/>
      <c r="F519" s="315"/>
      <c r="G519" s="315"/>
      <c r="H519" s="315"/>
      <c r="I519" s="315"/>
      <c r="J519" s="315"/>
      <c r="K519" s="315"/>
    </row>
    <row r="520" spans="2:11" ht="15">
      <c r="B520" s="118"/>
      <c r="C520" s="118"/>
      <c r="D520" s="118"/>
      <c r="E520" s="118"/>
      <c r="F520" s="99"/>
      <c r="G520" s="99"/>
      <c r="H520" s="99"/>
      <c r="I520" s="99"/>
      <c r="J520" s="99"/>
      <c r="K520" s="99"/>
    </row>
    <row r="521" spans="2:11" ht="15.75">
      <c r="B521" s="91">
        <v>3</v>
      </c>
      <c r="C521" s="91"/>
      <c r="D521" s="91"/>
      <c r="E521" s="103" t="s">
        <v>356</v>
      </c>
      <c r="F521" s="104"/>
      <c r="G521" s="104"/>
      <c r="H521" s="104"/>
      <c r="I521" s="104"/>
      <c r="J521" s="104"/>
      <c r="K521" s="104"/>
    </row>
    <row r="522" spans="2:11" ht="15.75">
      <c r="B522" s="94" t="s">
        <v>46</v>
      </c>
      <c r="C522" s="94"/>
      <c r="D522" s="94"/>
      <c r="E522" s="95" t="s">
        <v>47</v>
      </c>
      <c r="F522" s="55"/>
      <c r="G522" s="55"/>
      <c r="H522" s="55"/>
      <c r="I522" s="55"/>
      <c r="J522" s="55"/>
      <c r="K522" s="55"/>
    </row>
    <row r="523" spans="1:12" s="298" customFormat="1" ht="15.75">
      <c r="A523" s="39"/>
      <c r="B523" s="94" t="s">
        <v>48</v>
      </c>
      <c r="C523" s="94" t="s">
        <v>20</v>
      </c>
      <c r="D523" s="94" t="s">
        <v>49</v>
      </c>
      <c r="E523" s="95" t="s">
        <v>50</v>
      </c>
      <c r="F523" s="94" t="s">
        <v>51</v>
      </c>
      <c r="G523" s="94"/>
      <c r="H523" s="97" t="s">
        <v>291</v>
      </c>
      <c r="I523" s="94"/>
      <c r="J523" s="94"/>
      <c r="K523" s="97" t="s">
        <v>290</v>
      </c>
      <c r="L523" s="297"/>
    </row>
    <row r="524" spans="2:11" ht="15">
      <c r="B524" s="55"/>
      <c r="C524" s="55"/>
      <c r="D524" s="55"/>
      <c r="E524" s="56"/>
      <c r="F524" s="55"/>
      <c r="G524" s="55"/>
      <c r="H524" s="105">
        <v>3</v>
      </c>
      <c r="I524" s="55"/>
      <c r="J524" s="55"/>
      <c r="K524" s="250">
        <f>H524</f>
        <v>3</v>
      </c>
    </row>
    <row r="525" spans="1:12" s="298" customFormat="1" ht="15.75">
      <c r="A525" s="39"/>
      <c r="B525" s="94" t="s">
        <v>52</v>
      </c>
      <c r="C525" s="94" t="s">
        <v>20</v>
      </c>
      <c r="D525" s="94" t="s">
        <v>53</v>
      </c>
      <c r="E525" s="95" t="s">
        <v>54</v>
      </c>
      <c r="F525" s="94" t="s">
        <v>55</v>
      </c>
      <c r="G525" s="97" t="s">
        <v>295</v>
      </c>
      <c r="H525" s="97" t="s">
        <v>291</v>
      </c>
      <c r="I525" s="94" t="s">
        <v>292</v>
      </c>
      <c r="J525" s="94"/>
      <c r="K525" s="97" t="s">
        <v>290</v>
      </c>
      <c r="L525" s="297"/>
    </row>
    <row r="526" spans="2:11" ht="15">
      <c r="B526" s="55"/>
      <c r="C526" s="55"/>
      <c r="D526" s="55"/>
      <c r="E526" s="56" t="s">
        <v>296</v>
      </c>
      <c r="F526" s="105"/>
      <c r="G526" s="105">
        <v>1.1</v>
      </c>
      <c r="H526" s="105">
        <v>3.1</v>
      </c>
      <c r="I526" s="105">
        <v>0.06</v>
      </c>
      <c r="J526" s="105"/>
      <c r="K526" s="105">
        <f>G526*H526*I526</f>
        <v>0.20460000000000003</v>
      </c>
    </row>
    <row r="527" spans="2:11" ht="15">
      <c r="B527" s="55"/>
      <c r="C527" s="55"/>
      <c r="D527" s="55"/>
      <c r="E527" s="56" t="s">
        <v>297</v>
      </c>
      <c r="F527" s="55"/>
      <c r="G527" s="105">
        <v>0.2</v>
      </c>
      <c r="H527" s="105">
        <v>3</v>
      </c>
      <c r="I527" s="105">
        <v>0.46</v>
      </c>
      <c r="J527" s="105"/>
      <c r="K527" s="105">
        <f>G527*H527*I527</f>
        <v>0.2760000000000001</v>
      </c>
    </row>
    <row r="528" spans="2:11" ht="15">
      <c r="B528" s="56"/>
      <c r="C528" s="56"/>
      <c r="D528" s="56"/>
      <c r="E528" s="56"/>
      <c r="F528" s="55"/>
      <c r="G528" s="55"/>
      <c r="H528" s="55"/>
      <c r="I528" s="55"/>
      <c r="J528" s="55"/>
      <c r="K528" s="106">
        <f>SUM(K526:K527)</f>
        <v>0.48060000000000014</v>
      </c>
    </row>
    <row r="529" spans="1:12" s="298" customFormat="1" ht="31.5">
      <c r="A529" s="39"/>
      <c r="B529" s="94" t="s">
        <v>56</v>
      </c>
      <c r="C529" s="94" t="s">
        <v>20</v>
      </c>
      <c r="D529" s="94" t="s">
        <v>57</v>
      </c>
      <c r="E529" s="101" t="s">
        <v>58</v>
      </c>
      <c r="F529" s="94" t="s">
        <v>55</v>
      </c>
      <c r="G529" s="97" t="s">
        <v>295</v>
      </c>
      <c r="H529" s="97" t="s">
        <v>291</v>
      </c>
      <c r="I529" s="94" t="s">
        <v>292</v>
      </c>
      <c r="J529" s="94" t="s">
        <v>298</v>
      </c>
      <c r="K529" s="97" t="s">
        <v>290</v>
      </c>
      <c r="L529" s="297"/>
    </row>
    <row r="530" spans="2:11" ht="15">
      <c r="B530" s="55"/>
      <c r="C530" s="55"/>
      <c r="D530" s="55"/>
      <c r="E530" s="107" t="s">
        <v>357</v>
      </c>
      <c r="F530" s="55"/>
      <c r="G530" s="105">
        <v>1.1</v>
      </c>
      <c r="H530" s="55">
        <v>0.7</v>
      </c>
      <c r="I530" s="55">
        <v>0.53</v>
      </c>
      <c r="J530" s="55">
        <v>2</v>
      </c>
      <c r="K530" s="105">
        <f>G530*H530*I530*J530</f>
        <v>0.8162</v>
      </c>
    </row>
    <row r="531" spans="2:11" ht="15">
      <c r="B531" s="55"/>
      <c r="C531" s="55"/>
      <c r="D531" s="55"/>
      <c r="E531" s="107" t="s">
        <v>301</v>
      </c>
      <c r="F531" s="55"/>
      <c r="G531" s="55">
        <v>0.4</v>
      </c>
      <c r="H531" s="133">
        <v>1.4</v>
      </c>
      <c r="I531" s="55">
        <v>0.33</v>
      </c>
      <c r="J531" s="55"/>
      <c r="K531" s="105">
        <f>G531*H531*I531</f>
        <v>0.1848</v>
      </c>
    </row>
    <row r="532" spans="2:11" ht="15">
      <c r="B532" s="55"/>
      <c r="C532" s="55"/>
      <c r="D532" s="55"/>
      <c r="E532" s="107"/>
      <c r="F532" s="55"/>
      <c r="G532" s="99"/>
      <c r="H532" s="55"/>
      <c r="I532" s="55"/>
      <c r="J532" s="55"/>
      <c r="K532" s="106">
        <f>SUM(K530:K531)</f>
        <v>1.0010000000000001</v>
      </c>
    </row>
    <row r="533" spans="1:12" s="298" customFormat="1" ht="15.75">
      <c r="A533" s="39"/>
      <c r="B533" s="94" t="s">
        <v>62</v>
      </c>
      <c r="C533" s="94" t="s">
        <v>20</v>
      </c>
      <c r="D533" s="94" t="s">
        <v>60</v>
      </c>
      <c r="E533" s="95" t="s">
        <v>61</v>
      </c>
      <c r="F533" s="94" t="s">
        <v>55</v>
      </c>
      <c r="G533" s="97" t="s">
        <v>295</v>
      </c>
      <c r="H533" s="97" t="s">
        <v>291</v>
      </c>
      <c r="I533" s="94" t="s">
        <v>292</v>
      </c>
      <c r="J533" s="94" t="s">
        <v>298</v>
      </c>
      <c r="K533" s="94" t="s">
        <v>290</v>
      </c>
      <c r="L533" s="297"/>
    </row>
    <row r="534" spans="2:11" ht="15">
      <c r="B534" s="55"/>
      <c r="C534" s="55"/>
      <c r="D534" s="55"/>
      <c r="E534" s="107" t="s">
        <v>358</v>
      </c>
      <c r="F534" s="55"/>
      <c r="G534" s="100">
        <v>1</v>
      </c>
      <c r="H534" s="105">
        <v>0.6</v>
      </c>
      <c r="I534" s="105">
        <v>0.03</v>
      </c>
      <c r="J534" s="105">
        <v>2</v>
      </c>
      <c r="K534" s="105">
        <f>G534*H534*I534*J534</f>
        <v>0.036</v>
      </c>
    </row>
    <row r="535" spans="2:11" ht="15">
      <c r="B535" s="55"/>
      <c r="C535" s="55"/>
      <c r="D535" s="55"/>
      <c r="E535" s="107" t="s">
        <v>301</v>
      </c>
      <c r="F535" s="55"/>
      <c r="G535" s="100">
        <v>0.3</v>
      </c>
      <c r="H535" s="105">
        <v>1.4</v>
      </c>
      <c r="I535" s="105">
        <v>0.03</v>
      </c>
      <c r="J535" s="105"/>
      <c r="K535" s="105">
        <f>G535*H535*I535</f>
        <v>0.012599999999999998</v>
      </c>
    </row>
    <row r="536" spans="2:11" ht="18" customHeight="1">
      <c r="B536" s="56"/>
      <c r="C536" s="56"/>
      <c r="D536" s="56"/>
      <c r="E536" s="56"/>
      <c r="F536" s="55"/>
      <c r="G536" s="55"/>
      <c r="H536" s="55"/>
      <c r="I536" s="55"/>
      <c r="J536" s="55"/>
      <c r="K536" s="106">
        <f>SUM(K534:K535)</f>
        <v>0.0486</v>
      </c>
    </row>
    <row r="537" spans="1:12" s="298" customFormat="1" ht="47.25">
      <c r="A537" s="39"/>
      <c r="B537" s="108" t="s">
        <v>302</v>
      </c>
      <c r="C537" s="108" t="s">
        <v>20</v>
      </c>
      <c r="D537" s="108" t="s">
        <v>63</v>
      </c>
      <c r="E537" s="109" t="s">
        <v>64</v>
      </c>
      <c r="F537" s="108" t="s">
        <v>55</v>
      </c>
      <c r="G537" s="110" t="s">
        <v>295</v>
      </c>
      <c r="H537" s="110" t="s">
        <v>291</v>
      </c>
      <c r="I537" s="108" t="s">
        <v>292</v>
      </c>
      <c r="J537" s="108" t="s">
        <v>303</v>
      </c>
      <c r="K537" s="108" t="s">
        <v>290</v>
      </c>
      <c r="L537" s="297"/>
    </row>
    <row r="538" spans="2:11" ht="15">
      <c r="B538" s="111"/>
      <c r="C538" s="111"/>
      <c r="D538" s="111"/>
      <c r="E538" s="112" t="s">
        <v>304</v>
      </c>
      <c r="F538" s="111"/>
      <c r="G538" s="113">
        <v>2.9</v>
      </c>
      <c r="H538" s="113">
        <v>3</v>
      </c>
      <c r="I538" s="113">
        <v>0.06</v>
      </c>
      <c r="J538" s="111"/>
      <c r="K538" s="113">
        <f>G538*H538*I538</f>
        <v>0.5219999999999999</v>
      </c>
    </row>
    <row r="539" spans="2:11" ht="15">
      <c r="B539" s="111"/>
      <c r="C539" s="111"/>
      <c r="D539" s="111"/>
      <c r="E539" s="112" t="s">
        <v>305</v>
      </c>
      <c r="F539" s="111"/>
      <c r="G539" s="113">
        <v>0.2</v>
      </c>
      <c r="H539" s="113">
        <v>3</v>
      </c>
      <c r="I539" s="113">
        <v>0.46</v>
      </c>
      <c r="J539" s="111"/>
      <c r="K539" s="113">
        <f>G539*H539*I539</f>
        <v>0.2760000000000001</v>
      </c>
    </row>
    <row r="540" spans="2:11" ht="15">
      <c r="B540" s="57"/>
      <c r="C540" s="57"/>
      <c r="D540" s="57"/>
      <c r="E540" s="127" t="s">
        <v>359</v>
      </c>
      <c r="F540" s="57"/>
      <c r="G540" s="128">
        <v>1.1</v>
      </c>
      <c r="H540" s="128">
        <v>0.7</v>
      </c>
      <c r="I540" s="128">
        <v>0.53</v>
      </c>
      <c r="J540" s="57">
        <v>2</v>
      </c>
      <c r="K540" s="128">
        <f>G540*H540*I540*J540</f>
        <v>0.8162</v>
      </c>
    </row>
    <row r="541" spans="2:11" ht="15">
      <c r="B541" s="57"/>
      <c r="C541" s="57"/>
      <c r="D541" s="57"/>
      <c r="E541" s="127" t="s">
        <v>308</v>
      </c>
      <c r="F541" s="57"/>
      <c r="G541" s="57">
        <v>0.4</v>
      </c>
      <c r="H541" s="57">
        <v>1.4</v>
      </c>
      <c r="I541" s="57">
        <v>0.33</v>
      </c>
      <c r="J541" s="57"/>
      <c r="K541" s="128">
        <f>G541*H541*I541</f>
        <v>0.1848</v>
      </c>
    </row>
    <row r="542" spans="2:11" ht="15">
      <c r="B542" s="57"/>
      <c r="C542" s="57"/>
      <c r="D542" s="57"/>
      <c r="E542" s="127" t="s">
        <v>309</v>
      </c>
      <c r="F542" s="57"/>
      <c r="G542" s="128">
        <f>3.14*0.125^2</f>
        <v>0.0490625</v>
      </c>
      <c r="H542" s="57">
        <v>3</v>
      </c>
      <c r="I542" s="57"/>
      <c r="J542" s="57">
        <v>4</v>
      </c>
      <c r="K542" s="128">
        <f>G542*H542*J542</f>
        <v>0.58875</v>
      </c>
    </row>
    <row r="543" spans="2:11" ht="18.75" customHeight="1">
      <c r="B543" s="56"/>
      <c r="C543" s="56"/>
      <c r="D543" s="56"/>
      <c r="E543" s="56"/>
      <c r="F543" s="55"/>
      <c r="G543" s="55"/>
      <c r="H543" s="55"/>
      <c r="I543" s="55"/>
      <c r="J543" s="55"/>
      <c r="K543" s="106">
        <f>SUM(K538:K542)</f>
        <v>2.38775</v>
      </c>
    </row>
    <row r="544" spans="2:11" ht="15.75">
      <c r="B544" s="91" t="s">
        <v>65</v>
      </c>
      <c r="C544" s="91"/>
      <c r="D544" s="104"/>
      <c r="E544" s="103" t="s">
        <v>66</v>
      </c>
      <c r="F544" s="104"/>
      <c r="G544" s="104"/>
      <c r="H544" s="104"/>
      <c r="I544" s="104"/>
      <c r="J544" s="104"/>
      <c r="K544" s="104"/>
    </row>
    <row r="545" spans="1:12" s="298" customFormat="1" ht="15.75">
      <c r="A545" s="39"/>
      <c r="B545" s="94" t="s">
        <v>67</v>
      </c>
      <c r="C545" s="94" t="s">
        <v>20</v>
      </c>
      <c r="D545" s="114" t="s">
        <v>68</v>
      </c>
      <c r="E545" s="95" t="s">
        <v>69</v>
      </c>
      <c r="F545" s="94" t="s">
        <v>51</v>
      </c>
      <c r="G545" s="96" t="s">
        <v>9</v>
      </c>
      <c r="H545" s="97" t="s">
        <v>291</v>
      </c>
      <c r="I545" s="96"/>
      <c r="J545" s="96"/>
      <c r="K545" s="96" t="s">
        <v>290</v>
      </c>
      <c r="L545" s="297"/>
    </row>
    <row r="546" spans="2:11" ht="15">
      <c r="B546" s="55"/>
      <c r="C546" s="55"/>
      <c r="D546" s="105"/>
      <c r="E546" s="56"/>
      <c r="F546" s="55"/>
      <c r="G546" s="100">
        <v>4</v>
      </c>
      <c r="H546" s="98">
        <v>3.2</v>
      </c>
      <c r="I546" s="100"/>
      <c r="J546" s="100"/>
      <c r="K546" s="100">
        <f>G546*H546</f>
        <v>12.8</v>
      </c>
    </row>
    <row r="547" spans="1:12" s="298" customFormat="1" ht="15.75">
      <c r="A547" s="39"/>
      <c r="B547" s="94" t="s">
        <v>70</v>
      </c>
      <c r="C547" s="94" t="s">
        <v>20</v>
      </c>
      <c r="D547" s="94" t="s">
        <v>71</v>
      </c>
      <c r="E547" s="95" t="s">
        <v>72</v>
      </c>
      <c r="F547" s="94" t="s">
        <v>73</v>
      </c>
      <c r="G547" s="96" t="s">
        <v>9</v>
      </c>
      <c r="H547" s="96" t="s">
        <v>291</v>
      </c>
      <c r="I547" s="96" t="s">
        <v>310</v>
      </c>
      <c r="J547" s="96" t="s">
        <v>298</v>
      </c>
      <c r="K547" s="96" t="s">
        <v>290</v>
      </c>
      <c r="L547" s="297"/>
    </row>
    <row r="548" spans="2:11" ht="15">
      <c r="B548" s="55"/>
      <c r="C548" s="55"/>
      <c r="D548" s="55"/>
      <c r="E548" s="56" t="s">
        <v>311</v>
      </c>
      <c r="F548" s="55"/>
      <c r="G548" s="100">
        <v>4</v>
      </c>
      <c r="H548" s="100">
        <v>3.2</v>
      </c>
      <c r="I548" s="115">
        <v>0.963</v>
      </c>
      <c r="J548" s="100">
        <v>2</v>
      </c>
      <c r="K548" s="100">
        <f>G548*H548*I548*J548</f>
        <v>24.6528</v>
      </c>
    </row>
    <row r="549" spans="2:11" ht="15">
      <c r="B549" s="55"/>
      <c r="C549" s="55"/>
      <c r="D549" s="55"/>
      <c r="E549" s="56" t="s">
        <v>312</v>
      </c>
      <c r="F549" s="55"/>
      <c r="G549" s="100">
        <v>4</v>
      </c>
      <c r="H549" s="100">
        <v>3.2</v>
      </c>
      <c r="I549" s="115">
        <v>0.617</v>
      </c>
      <c r="J549" s="100">
        <v>2</v>
      </c>
      <c r="K549" s="100">
        <f>G549*H549*I549*J549</f>
        <v>15.795200000000001</v>
      </c>
    </row>
    <row r="550" spans="2:11" ht="15">
      <c r="B550" s="55"/>
      <c r="C550" s="55"/>
      <c r="D550" s="55"/>
      <c r="E550" s="56" t="s">
        <v>313</v>
      </c>
      <c r="F550" s="55"/>
      <c r="G550" s="119">
        <f>3/0.15</f>
        <v>20</v>
      </c>
      <c r="H550" s="100">
        <v>0.66</v>
      </c>
      <c r="I550" s="115">
        <v>0.245</v>
      </c>
      <c r="J550" s="100">
        <v>4</v>
      </c>
      <c r="K550" s="100">
        <f>G550*H550*I550*J550</f>
        <v>12.936</v>
      </c>
    </row>
    <row r="551" spans="2:11" ht="18" customHeight="1">
      <c r="B551" s="56"/>
      <c r="C551" s="56"/>
      <c r="D551" s="56"/>
      <c r="E551" s="56"/>
      <c r="F551" s="55"/>
      <c r="G551" s="55"/>
      <c r="H551" s="55"/>
      <c r="I551" s="55"/>
      <c r="J551" s="55"/>
      <c r="K551" s="106">
        <f>SUM(K548:K550)</f>
        <v>53.384</v>
      </c>
    </row>
    <row r="552" spans="2:11" ht="15.75">
      <c r="B552" s="91" t="s">
        <v>74</v>
      </c>
      <c r="C552" s="104"/>
      <c r="D552" s="104"/>
      <c r="E552" s="103" t="s">
        <v>314</v>
      </c>
      <c r="F552" s="104"/>
      <c r="G552" s="104"/>
      <c r="H552" s="104"/>
      <c r="I552" s="104"/>
      <c r="J552" s="104"/>
      <c r="K552" s="104"/>
    </row>
    <row r="553" spans="1:12" s="298" customFormat="1" ht="15.75">
      <c r="A553" s="39"/>
      <c r="B553" s="94" t="s">
        <v>76</v>
      </c>
      <c r="C553" s="94" t="s">
        <v>20</v>
      </c>
      <c r="D553" s="94" t="s">
        <v>77</v>
      </c>
      <c r="E553" s="95" t="s">
        <v>78</v>
      </c>
      <c r="F553" s="94" t="s">
        <v>55</v>
      </c>
      <c r="G553" s="97" t="s">
        <v>295</v>
      </c>
      <c r="H553" s="97" t="s">
        <v>291</v>
      </c>
      <c r="I553" s="96" t="s">
        <v>292</v>
      </c>
      <c r="J553" s="96" t="s">
        <v>298</v>
      </c>
      <c r="K553" s="96" t="s">
        <v>290</v>
      </c>
      <c r="L553" s="297"/>
    </row>
    <row r="554" spans="2:11" ht="15">
      <c r="B554" s="55"/>
      <c r="C554" s="55"/>
      <c r="D554" s="55"/>
      <c r="E554" s="107" t="s">
        <v>358</v>
      </c>
      <c r="F554" s="55"/>
      <c r="G554" s="135">
        <v>1</v>
      </c>
      <c r="H554" s="55">
        <v>0.6</v>
      </c>
      <c r="I554" s="55">
        <v>0.5</v>
      </c>
      <c r="J554" s="55">
        <v>2</v>
      </c>
      <c r="K554" s="105">
        <f>G554*H554*I554*J554</f>
        <v>0.6</v>
      </c>
    </row>
    <row r="555" spans="2:11" ht="15">
      <c r="B555" s="55"/>
      <c r="C555" s="55"/>
      <c r="D555" s="55"/>
      <c r="E555" s="107" t="s">
        <v>301</v>
      </c>
      <c r="F555" s="55"/>
      <c r="G555" s="55">
        <v>0.3</v>
      </c>
      <c r="H555" s="55">
        <v>1.4</v>
      </c>
      <c r="I555" s="55">
        <v>0.3</v>
      </c>
      <c r="J555" s="55"/>
      <c r="K555" s="105">
        <f>G555*H555*I555</f>
        <v>0.126</v>
      </c>
    </row>
    <row r="556" spans="2:11" ht="18" customHeight="1">
      <c r="B556" s="56"/>
      <c r="C556" s="56"/>
      <c r="D556" s="56"/>
      <c r="E556" s="56"/>
      <c r="F556" s="55"/>
      <c r="G556" s="55"/>
      <c r="H556" s="55"/>
      <c r="I556" s="55"/>
      <c r="J556" s="55"/>
      <c r="K556" s="106">
        <f>SUM(K554:K555)</f>
        <v>0.726</v>
      </c>
    </row>
    <row r="557" spans="1:12" s="298" customFormat="1" ht="15.75">
      <c r="A557" s="39"/>
      <c r="B557" s="94" t="s">
        <v>79</v>
      </c>
      <c r="C557" s="94" t="s">
        <v>20</v>
      </c>
      <c r="D557" s="94" t="s">
        <v>80</v>
      </c>
      <c r="E557" s="95" t="s">
        <v>81</v>
      </c>
      <c r="F557" s="94" t="s">
        <v>55</v>
      </c>
      <c r="G557" s="97" t="s">
        <v>295</v>
      </c>
      <c r="H557" s="97" t="s">
        <v>291</v>
      </c>
      <c r="I557" s="96" t="s">
        <v>292</v>
      </c>
      <c r="J557" s="96" t="s">
        <v>298</v>
      </c>
      <c r="K557" s="96" t="s">
        <v>290</v>
      </c>
      <c r="L557" s="297"/>
    </row>
    <row r="558" spans="2:11" ht="15">
      <c r="B558" s="116"/>
      <c r="C558" s="116"/>
      <c r="D558" s="116"/>
      <c r="E558" s="107" t="s">
        <v>344</v>
      </c>
      <c r="F558" s="55"/>
      <c r="G558" s="135">
        <v>1</v>
      </c>
      <c r="H558" s="55">
        <v>0.6</v>
      </c>
      <c r="I558" s="55">
        <v>0.5</v>
      </c>
      <c r="J558" s="55">
        <v>2</v>
      </c>
      <c r="K558" s="105">
        <f>G558*H558*I558*J558</f>
        <v>0.6</v>
      </c>
    </row>
    <row r="559" spans="2:11" ht="15">
      <c r="B559" s="116"/>
      <c r="C559" s="116"/>
      <c r="D559" s="116"/>
      <c r="E559" s="107" t="s">
        <v>301</v>
      </c>
      <c r="F559" s="55"/>
      <c r="G559" s="55">
        <v>0.3</v>
      </c>
      <c r="H559" s="55">
        <v>1.4</v>
      </c>
      <c r="I559" s="55">
        <v>0.3</v>
      </c>
      <c r="J559" s="55"/>
      <c r="K559" s="105">
        <f>G559*H559*I559</f>
        <v>0.126</v>
      </c>
    </row>
    <row r="560" spans="2:11" ht="18" customHeight="1">
      <c r="B560" s="117"/>
      <c r="C560" s="117"/>
      <c r="D560" s="117"/>
      <c r="E560" s="117"/>
      <c r="F560" s="105"/>
      <c r="G560" s="105"/>
      <c r="H560" s="105"/>
      <c r="I560" s="105"/>
      <c r="J560" s="55"/>
      <c r="K560" s="106">
        <f>SUM(K558:K559)</f>
        <v>0.726</v>
      </c>
    </row>
    <row r="561" spans="1:14" s="298" customFormat="1" ht="15.75">
      <c r="A561" s="39"/>
      <c r="B561" s="94" t="s">
        <v>82</v>
      </c>
      <c r="C561" s="94" t="s">
        <v>20</v>
      </c>
      <c r="D561" s="94" t="s">
        <v>71</v>
      </c>
      <c r="E561" s="95" t="s">
        <v>72</v>
      </c>
      <c r="F561" s="94" t="s">
        <v>73</v>
      </c>
      <c r="G561" s="96" t="s">
        <v>9</v>
      </c>
      <c r="H561" s="96" t="s">
        <v>291</v>
      </c>
      <c r="I561" s="96" t="s">
        <v>310</v>
      </c>
      <c r="J561" s="96" t="s">
        <v>298</v>
      </c>
      <c r="K561" s="96" t="s">
        <v>290</v>
      </c>
      <c r="L561" s="297"/>
      <c r="M561" s="300"/>
      <c r="N561" s="300"/>
    </row>
    <row r="562" spans="2:14" ht="15">
      <c r="B562" s="55"/>
      <c r="C562" s="55"/>
      <c r="D562" s="55"/>
      <c r="E562" s="56" t="s">
        <v>360</v>
      </c>
      <c r="F562" s="55"/>
      <c r="G562" s="119">
        <f>0.6/0.15</f>
        <v>4</v>
      </c>
      <c r="H562" s="100">
        <f>1+1+1</f>
        <v>3</v>
      </c>
      <c r="I562" s="115">
        <v>0.395</v>
      </c>
      <c r="J562" s="99">
        <v>2</v>
      </c>
      <c r="K562" s="100">
        <f>G562*H562*I562*J562</f>
        <v>9.48</v>
      </c>
      <c r="M562" s="301"/>
      <c r="N562" s="301"/>
    </row>
    <row r="563" spans="2:14" ht="15">
      <c r="B563" s="55"/>
      <c r="C563" s="55"/>
      <c r="D563" s="55"/>
      <c r="E563" s="56" t="s">
        <v>360</v>
      </c>
      <c r="F563" s="55"/>
      <c r="G563" s="119">
        <f>1/0.15</f>
        <v>6.666666666666667</v>
      </c>
      <c r="H563" s="100">
        <f>1.2+1</f>
        <v>2.2</v>
      </c>
      <c r="I563" s="115">
        <v>0.395</v>
      </c>
      <c r="J563" s="99">
        <v>2</v>
      </c>
      <c r="K563" s="100">
        <f>G563*H563*I563*J563</f>
        <v>11.586666666666668</v>
      </c>
      <c r="M563" s="301"/>
      <c r="N563" s="301"/>
    </row>
    <row r="564" spans="2:11" ht="15">
      <c r="B564" s="55"/>
      <c r="C564" s="55"/>
      <c r="D564" s="55"/>
      <c r="E564" s="56" t="s">
        <v>347</v>
      </c>
      <c r="F564" s="55"/>
      <c r="G564" s="100">
        <v>4</v>
      </c>
      <c r="H564" s="100">
        <v>1.4</v>
      </c>
      <c r="I564" s="115">
        <v>0.963</v>
      </c>
      <c r="J564" s="99"/>
      <c r="K564" s="100">
        <f>G564*H564*I564</f>
        <v>5.392799999999999</v>
      </c>
    </row>
    <row r="565" spans="2:11" ht="18" customHeight="1">
      <c r="B565" s="56"/>
      <c r="C565" s="56"/>
      <c r="D565" s="56"/>
      <c r="E565" s="56" t="s">
        <v>318</v>
      </c>
      <c r="F565" s="55"/>
      <c r="G565" s="134">
        <f>1.4/0.15</f>
        <v>9.333333333333334</v>
      </c>
      <c r="H565" s="55">
        <f>0.24+0.24+0.24+0.24+0.06</f>
        <v>1.02</v>
      </c>
      <c r="I565" s="115">
        <v>0.245</v>
      </c>
      <c r="J565" s="55"/>
      <c r="K565" s="100">
        <f>G565*H565*I565</f>
        <v>2.3324000000000003</v>
      </c>
    </row>
    <row r="566" spans="2:11" ht="18" customHeight="1">
      <c r="B566" s="56"/>
      <c r="C566" s="56"/>
      <c r="D566" s="56"/>
      <c r="E566" s="56"/>
      <c r="F566" s="55"/>
      <c r="G566" s="55"/>
      <c r="H566" s="55"/>
      <c r="I566" s="115"/>
      <c r="J566" s="55"/>
      <c r="K566" s="106">
        <f>SUM(K562:K565)</f>
        <v>28.79186666666667</v>
      </c>
    </row>
    <row r="567" spans="1:12" s="298" customFormat="1" ht="15.75">
      <c r="A567" s="39"/>
      <c r="B567" s="94" t="s">
        <v>83</v>
      </c>
      <c r="C567" s="94" t="s">
        <v>20</v>
      </c>
      <c r="D567" s="94" t="s">
        <v>84</v>
      </c>
      <c r="E567" s="95" t="s">
        <v>85</v>
      </c>
      <c r="F567" s="94" t="s">
        <v>23</v>
      </c>
      <c r="G567" s="96"/>
      <c r="H567" s="97" t="s">
        <v>291</v>
      </c>
      <c r="I567" s="96" t="s">
        <v>292</v>
      </c>
      <c r="J567" s="96" t="s">
        <v>298</v>
      </c>
      <c r="K567" s="96" t="s">
        <v>290</v>
      </c>
      <c r="L567" s="297"/>
    </row>
    <row r="568" spans="2:11" ht="15">
      <c r="B568" s="55"/>
      <c r="C568" s="55"/>
      <c r="D568" s="55"/>
      <c r="E568" s="56" t="s">
        <v>319</v>
      </c>
      <c r="F568" s="55"/>
      <c r="G568" s="99"/>
      <c r="H568" s="98">
        <f>1.2+1.2+0.9</f>
        <v>3.3</v>
      </c>
      <c r="I568" s="99">
        <v>0.5</v>
      </c>
      <c r="J568" s="99">
        <v>3</v>
      </c>
      <c r="K568" s="100">
        <f>H568*I568*J568</f>
        <v>4.949999999999999</v>
      </c>
    </row>
    <row r="569" spans="2:11" ht="15">
      <c r="B569" s="55"/>
      <c r="C569" s="55"/>
      <c r="D569" s="55"/>
      <c r="E569" s="56" t="s">
        <v>320</v>
      </c>
      <c r="F569" s="55"/>
      <c r="G569" s="99"/>
      <c r="H569" s="100">
        <f>1.8*2</f>
        <v>3.6</v>
      </c>
      <c r="I569" s="100">
        <v>0.3</v>
      </c>
      <c r="J569" s="99"/>
      <c r="K569" s="100">
        <f>H569*I569</f>
        <v>1.08</v>
      </c>
    </row>
    <row r="570" spans="2:11" ht="15">
      <c r="B570" s="55"/>
      <c r="C570" s="55"/>
      <c r="D570" s="55"/>
      <c r="E570" s="56"/>
      <c r="F570" s="55"/>
      <c r="G570" s="99"/>
      <c r="H570" s="100"/>
      <c r="I570" s="100"/>
      <c r="J570" s="55"/>
      <c r="K570" s="106">
        <f>SUM(K568:K569)</f>
        <v>6.029999999999999</v>
      </c>
    </row>
    <row r="571" spans="2:11" ht="15.75">
      <c r="B571" s="91" t="s">
        <v>86</v>
      </c>
      <c r="C571" s="104"/>
      <c r="D571" s="104"/>
      <c r="E571" s="103" t="s">
        <v>321</v>
      </c>
      <c r="F571" s="104"/>
      <c r="G571" s="104"/>
      <c r="H571" s="104"/>
      <c r="I571" s="104"/>
      <c r="J571" s="104"/>
      <c r="K571" s="104"/>
    </row>
    <row r="572" spans="1:12" s="298" customFormat="1" ht="15.75">
      <c r="A572" s="39"/>
      <c r="B572" s="94" t="s">
        <v>88</v>
      </c>
      <c r="C572" s="94" t="s">
        <v>20</v>
      </c>
      <c r="D572" s="94" t="s">
        <v>77</v>
      </c>
      <c r="E572" s="95" t="s">
        <v>78</v>
      </c>
      <c r="F572" s="94" t="s">
        <v>55</v>
      </c>
      <c r="G572" s="96" t="s">
        <v>295</v>
      </c>
      <c r="H572" s="97" t="s">
        <v>291</v>
      </c>
      <c r="I572" s="96" t="s">
        <v>292</v>
      </c>
      <c r="J572" s="96" t="s">
        <v>298</v>
      </c>
      <c r="K572" s="96" t="s">
        <v>290</v>
      </c>
      <c r="L572" s="297"/>
    </row>
    <row r="573" spans="2:11" ht="15">
      <c r="B573" s="55"/>
      <c r="C573" s="55"/>
      <c r="D573" s="55"/>
      <c r="E573" s="56" t="s">
        <v>322</v>
      </c>
      <c r="F573" s="55"/>
      <c r="G573" s="100">
        <v>0.2</v>
      </c>
      <c r="H573" s="100">
        <v>0.30000000000000004</v>
      </c>
      <c r="I573" s="100">
        <v>0.9</v>
      </c>
      <c r="J573" s="100">
        <v>2</v>
      </c>
      <c r="K573" s="100">
        <f>G573*H573*I573*J573/2</f>
        <v>0.05400000000000001</v>
      </c>
    </row>
    <row r="574" spans="2:11" ht="15">
      <c r="B574" s="55"/>
      <c r="C574" s="55"/>
      <c r="D574" s="55"/>
      <c r="E574" s="118" t="s">
        <v>323</v>
      </c>
      <c r="F574" s="55"/>
      <c r="G574" s="99">
        <v>0.3</v>
      </c>
      <c r="H574" s="99">
        <v>0.2</v>
      </c>
      <c r="I574" s="99">
        <f>1.6+0.4</f>
        <v>2</v>
      </c>
      <c r="J574" s="99">
        <v>2</v>
      </c>
      <c r="K574" s="100">
        <f>G574*H574*I574*J574</f>
        <v>0.24</v>
      </c>
    </row>
    <row r="575" spans="2:11" ht="18" customHeight="1">
      <c r="B575" s="56"/>
      <c r="C575" s="56"/>
      <c r="D575" s="56"/>
      <c r="E575" s="56"/>
      <c r="F575" s="55"/>
      <c r="G575" s="55"/>
      <c r="H575" s="55"/>
      <c r="I575" s="55"/>
      <c r="J575" s="55"/>
      <c r="K575" s="106">
        <f>SUM(K573:K574)</f>
        <v>0.294</v>
      </c>
    </row>
    <row r="576" spans="1:12" s="298" customFormat="1" ht="15.75">
      <c r="A576" s="39"/>
      <c r="B576" s="94" t="s">
        <v>89</v>
      </c>
      <c r="C576" s="94" t="s">
        <v>20</v>
      </c>
      <c r="D576" s="94" t="s">
        <v>90</v>
      </c>
      <c r="E576" s="95" t="s">
        <v>91</v>
      </c>
      <c r="F576" s="94" t="s">
        <v>55</v>
      </c>
      <c r="G576" s="96" t="s">
        <v>295</v>
      </c>
      <c r="H576" s="97" t="s">
        <v>291</v>
      </c>
      <c r="I576" s="96" t="s">
        <v>292</v>
      </c>
      <c r="J576" s="96" t="s">
        <v>298</v>
      </c>
      <c r="K576" s="102" t="s">
        <v>290</v>
      </c>
      <c r="L576" s="297"/>
    </row>
    <row r="577" spans="2:11" ht="15">
      <c r="B577" s="55"/>
      <c r="C577" s="55"/>
      <c r="D577" s="55"/>
      <c r="E577" s="56" t="s">
        <v>322</v>
      </c>
      <c r="F577" s="55"/>
      <c r="G577" s="100">
        <v>0.2</v>
      </c>
      <c r="H577" s="100">
        <v>0.30000000000000004</v>
      </c>
      <c r="I577" s="100">
        <v>0.9</v>
      </c>
      <c r="J577" s="100">
        <v>2</v>
      </c>
      <c r="K577" s="100">
        <f>G577*H577*I577*J577/2</f>
        <v>0.05400000000000001</v>
      </c>
    </row>
    <row r="578" spans="2:11" ht="15">
      <c r="B578" s="55"/>
      <c r="C578" s="55"/>
      <c r="D578" s="55"/>
      <c r="E578" s="118" t="s">
        <v>323</v>
      </c>
      <c r="F578" s="55"/>
      <c r="G578" s="99">
        <v>0.3</v>
      </c>
      <c r="H578" s="99">
        <v>0.2</v>
      </c>
      <c r="I578" s="99">
        <f>1.6+0.4</f>
        <v>2</v>
      </c>
      <c r="J578" s="99">
        <v>2</v>
      </c>
      <c r="K578" s="100">
        <f>G578*H578*I578*J578</f>
        <v>0.24</v>
      </c>
    </row>
    <row r="579" spans="2:11" ht="18" customHeight="1">
      <c r="B579" s="56"/>
      <c r="C579" s="56"/>
      <c r="D579" s="56"/>
      <c r="E579" s="56"/>
      <c r="F579" s="55"/>
      <c r="G579" s="55"/>
      <c r="H579" s="55"/>
      <c r="I579" s="55"/>
      <c r="J579" s="55"/>
      <c r="K579" s="106">
        <f>SUM(K577:K578)</f>
        <v>0.294</v>
      </c>
    </row>
    <row r="580" spans="1:12" s="298" customFormat="1" ht="15.75">
      <c r="A580" s="39"/>
      <c r="B580" s="94" t="s">
        <v>92</v>
      </c>
      <c r="C580" s="94" t="s">
        <v>20</v>
      </c>
      <c r="D580" s="94" t="s">
        <v>71</v>
      </c>
      <c r="E580" s="95" t="s">
        <v>72</v>
      </c>
      <c r="F580" s="94" t="s">
        <v>73</v>
      </c>
      <c r="G580" s="96" t="s">
        <v>9</v>
      </c>
      <c r="H580" s="96" t="s">
        <v>291</v>
      </c>
      <c r="I580" s="96" t="s">
        <v>310</v>
      </c>
      <c r="J580" s="96" t="s">
        <v>298</v>
      </c>
      <c r="K580" s="96" t="s">
        <v>290</v>
      </c>
      <c r="L580" s="297"/>
    </row>
    <row r="581" spans="2:11" ht="15">
      <c r="B581" s="55"/>
      <c r="C581" s="55"/>
      <c r="D581" s="55"/>
      <c r="E581" s="56" t="s">
        <v>324</v>
      </c>
      <c r="F581" s="55"/>
      <c r="G581" s="100">
        <v>2</v>
      </c>
      <c r="H581" s="100">
        <v>1.5</v>
      </c>
      <c r="I581" s="115">
        <v>0.617</v>
      </c>
      <c r="J581" s="100">
        <v>2</v>
      </c>
      <c r="K581" s="100">
        <f aca="true" t="shared" si="4" ref="K581:K586">G581*H581*I581*J581</f>
        <v>3.702</v>
      </c>
    </row>
    <row r="582" spans="2:11" ht="15">
      <c r="B582" s="55"/>
      <c r="C582" s="55"/>
      <c r="D582" s="55"/>
      <c r="E582" s="56" t="s">
        <v>325</v>
      </c>
      <c r="F582" s="55"/>
      <c r="G582" s="100">
        <v>2</v>
      </c>
      <c r="H582" s="100">
        <v>2.2</v>
      </c>
      <c r="I582" s="115">
        <v>0.617</v>
      </c>
      <c r="J582" s="100">
        <v>2</v>
      </c>
      <c r="K582" s="100">
        <f t="shared" si="4"/>
        <v>5.429600000000001</v>
      </c>
    </row>
    <row r="583" spans="2:11" ht="15">
      <c r="B583" s="55"/>
      <c r="C583" s="55"/>
      <c r="D583" s="55"/>
      <c r="E583" s="56" t="s">
        <v>326</v>
      </c>
      <c r="F583" s="55"/>
      <c r="G583" s="99">
        <v>2</v>
      </c>
      <c r="H583" s="136">
        <f>1.8+0.2</f>
        <v>2</v>
      </c>
      <c r="I583" s="99">
        <v>1.578</v>
      </c>
      <c r="J583" s="99">
        <v>2</v>
      </c>
      <c r="K583" s="100">
        <f t="shared" si="4"/>
        <v>12.624</v>
      </c>
    </row>
    <row r="584" spans="2:11" ht="15">
      <c r="B584" s="55"/>
      <c r="C584" s="55"/>
      <c r="D584" s="55"/>
      <c r="E584" s="56" t="s">
        <v>327</v>
      </c>
      <c r="F584" s="55"/>
      <c r="G584" s="99">
        <v>2</v>
      </c>
      <c r="H584" s="136">
        <f>1.8+0.2</f>
        <v>2</v>
      </c>
      <c r="I584" s="99">
        <v>0.963</v>
      </c>
      <c r="J584" s="99">
        <v>2</v>
      </c>
      <c r="K584" s="100">
        <f t="shared" si="4"/>
        <v>7.704</v>
      </c>
    </row>
    <row r="585" spans="2:11" ht="15">
      <c r="B585" s="55"/>
      <c r="C585" s="55"/>
      <c r="D585" s="55"/>
      <c r="E585" s="56" t="s">
        <v>354</v>
      </c>
      <c r="F585" s="55"/>
      <c r="G585" s="99">
        <v>1</v>
      </c>
      <c r="H585" s="136">
        <f>1.8+0.2</f>
        <v>2</v>
      </c>
      <c r="I585" s="99">
        <v>0.617</v>
      </c>
      <c r="J585" s="99">
        <v>2</v>
      </c>
      <c r="K585" s="100">
        <f t="shared" si="4"/>
        <v>2.468</v>
      </c>
    </row>
    <row r="586" spans="2:11" ht="15">
      <c r="B586" s="55"/>
      <c r="C586" s="55"/>
      <c r="D586" s="55"/>
      <c r="E586" s="56" t="s">
        <v>329</v>
      </c>
      <c r="F586" s="55"/>
      <c r="G586" s="119">
        <f>1.8/0.15</f>
        <v>12</v>
      </c>
      <c r="H586" s="99">
        <f>0.5+0.6-0.12+0.06</f>
        <v>1.04</v>
      </c>
      <c r="I586" s="99">
        <v>0.245</v>
      </c>
      <c r="J586" s="99">
        <v>2</v>
      </c>
      <c r="K586" s="100">
        <f t="shared" si="4"/>
        <v>6.1152</v>
      </c>
    </row>
    <row r="587" spans="2:11" ht="18" customHeight="1">
      <c r="B587" s="56"/>
      <c r="C587" s="56"/>
      <c r="D587" s="56"/>
      <c r="E587" s="56"/>
      <c r="F587" s="55"/>
      <c r="G587" s="55"/>
      <c r="H587" s="55"/>
      <c r="I587" s="55"/>
      <c r="J587" s="55"/>
      <c r="K587" s="106">
        <f>SUM(K581:K586)</f>
        <v>38.0428</v>
      </c>
    </row>
    <row r="588" spans="1:12" s="298" customFormat="1" ht="15.75">
      <c r="A588" s="39"/>
      <c r="B588" s="94" t="s">
        <v>93</v>
      </c>
      <c r="C588" s="94" t="s">
        <v>20</v>
      </c>
      <c r="D588" s="94" t="s">
        <v>94</v>
      </c>
      <c r="E588" s="95" t="s">
        <v>95</v>
      </c>
      <c r="F588" s="94" t="s">
        <v>23</v>
      </c>
      <c r="G588" s="94" t="s">
        <v>295</v>
      </c>
      <c r="H588" s="97" t="s">
        <v>291</v>
      </c>
      <c r="I588" s="94" t="s">
        <v>292</v>
      </c>
      <c r="J588" s="94" t="s">
        <v>298</v>
      </c>
      <c r="K588" s="114" t="s">
        <v>290</v>
      </c>
      <c r="L588" s="297"/>
    </row>
    <row r="589" spans="2:11" ht="15">
      <c r="B589" s="55"/>
      <c r="C589" s="55"/>
      <c r="D589" s="55"/>
      <c r="E589" s="56" t="s">
        <v>323</v>
      </c>
      <c r="F589" s="55"/>
      <c r="G589" s="55">
        <v>0.2</v>
      </c>
      <c r="H589" s="55"/>
      <c r="I589" s="135">
        <v>2</v>
      </c>
      <c r="J589" s="55">
        <v>3</v>
      </c>
      <c r="K589" s="105">
        <f>G589*I589*J589</f>
        <v>1.2000000000000002</v>
      </c>
    </row>
    <row r="590" spans="2:11" ht="15">
      <c r="B590" s="55"/>
      <c r="C590" s="55"/>
      <c r="D590" s="55"/>
      <c r="E590" s="56" t="s">
        <v>330</v>
      </c>
      <c r="F590" s="55"/>
      <c r="G590" s="55">
        <v>0.2</v>
      </c>
      <c r="H590" s="55">
        <v>0.6000000000000001</v>
      </c>
      <c r="I590" s="55"/>
      <c r="J590" s="55">
        <v>2</v>
      </c>
      <c r="K590" s="105">
        <f>G590*H590*J590</f>
        <v>0.24000000000000005</v>
      </c>
    </row>
    <row r="591" spans="2:11" ht="18" customHeight="1">
      <c r="B591" s="56"/>
      <c r="C591" s="56"/>
      <c r="D591" s="56"/>
      <c r="E591" s="56" t="s">
        <v>331</v>
      </c>
      <c r="F591" s="55"/>
      <c r="G591" s="55">
        <v>0.30000000000000004</v>
      </c>
      <c r="H591" s="55">
        <v>0.6000000000000001</v>
      </c>
      <c r="I591" s="55"/>
      <c r="J591" s="55">
        <v>2</v>
      </c>
      <c r="K591" s="105">
        <f>G591*H591*J591</f>
        <v>0.3600000000000001</v>
      </c>
    </row>
    <row r="592" spans="2:11" ht="18" customHeight="1">
      <c r="B592" s="56"/>
      <c r="C592" s="56"/>
      <c r="D592" s="56"/>
      <c r="E592" s="56"/>
      <c r="F592" s="55"/>
      <c r="G592" s="55"/>
      <c r="H592" s="55"/>
      <c r="I592" s="55"/>
      <c r="J592" s="55"/>
      <c r="K592" s="106">
        <f>SUM(K589:K591)</f>
        <v>1.8000000000000003</v>
      </c>
    </row>
    <row r="593" spans="2:11" ht="15.75">
      <c r="B593" s="91" t="s">
        <v>96</v>
      </c>
      <c r="C593" s="104"/>
      <c r="D593" s="104"/>
      <c r="E593" s="103" t="s">
        <v>97</v>
      </c>
      <c r="F593" s="104"/>
      <c r="G593" s="104"/>
      <c r="H593" s="104"/>
      <c r="I593" s="104"/>
      <c r="J593" s="104"/>
      <c r="K593" s="104"/>
    </row>
    <row r="594" spans="1:12" s="298" customFormat="1" ht="15.75">
      <c r="A594" s="39"/>
      <c r="B594" s="94" t="s">
        <v>98</v>
      </c>
      <c r="C594" s="94" t="s">
        <v>20</v>
      </c>
      <c r="D594" s="94" t="s">
        <v>77</v>
      </c>
      <c r="E594" s="95" t="s">
        <v>78</v>
      </c>
      <c r="F594" s="94" t="s">
        <v>55</v>
      </c>
      <c r="G594" s="96" t="s">
        <v>295</v>
      </c>
      <c r="H594" s="97" t="s">
        <v>291</v>
      </c>
      <c r="I594" s="96" t="s">
        <v>292</v>
      </c>
      <c r="J594" s="96" t="s">
        <v>298</v>
      </c>
      <c r="K594" s="102" t="s">
        <v>290</v>
      </c>
      <c r="L594" s="297"/>
    </row>
    <row r="595" spans="2:11" ht="15">
      <c r="B595" s="55"/>
      <c r="C595" s="55"/>
      <c r="D595" s="55"/>
      <c r="E595" s="56"/>
      <c r="F595" s="55"/>
      <c r="G595" s="99">
        <v>0.2</v>
      </c>
      <c r="H595" s="99">
        <v>3</v>
      </c>
      <c r="I595" s="99">
        <v>0.3</v>
      </c>
      <c r="J595" s="99">
        <v>2</v>
      </c>
      <c r="K595" s="250">
        <f>G595*H595*I595*J595</f>
        <v>0.36000000000000004</v>
      </c>
    </row>
    <row r="596" spans="1:12" s="298" customFormat="1" ht="15.75">
      <c r="A596" s="39"/>
      <c r="B596" s="94" t="s">
        <v>99</v>
      </c>
      <c r="C596" s="94" t="s">
        <v>20</v>
      </c>
      <c r="D596" s="94" t="s">
        <v>90</v>
      </c>
      <c r="E596" s="95" t="s">
        <v>91</v>
      </c>
      <c r="F596" s="94" t="s">
        <v>55</v>
      </c>
      <c r="G596" s="96" t="s">
        <v>295</v>
      </c>
      <c r="H596" s="97" t="s">
        <v>291</v>
      </c>
      <c r="I596" s="96" t="s">
        <v>292</v>
      </c>
      <c r="J596" s="96" t="s">
        <v>298</v>
      </c>
      <c r="K596" s="102" t="s">
        <v>290</v>
      </c>
      <c r="L596" s="297"/>
    </row>
    <row r="597" spans="2:11" ht="15">
      <c r="B597" s="55"/>
      <c r="C597" s="55"/>
      <c r="D597" s="55"/>
      <c r="E597" s="56"/>
      <c r="F597" s="55"/>
      <c r="G597" s="99">
        <v>0.2</v>
      </c>
      <c r="H597" s="99">
        <v>3</v>
      </c>
      <c r="I597" s="99">
        <v>0.3</v>
      </c>
      <c r="J597" s="99">
        <v>2</v>
      </c>
      <c r="K597" s="250">
        <f>G597*H597*I597*J597</f>
        <v>0.36000000000000004</v>
      </c>
    </row>
    <row r="598" spans="1:12" s="298" customFormat="1" ht="15.75">
      <c r="A598" s="39"/>
      <c r="B598" s="94" t="s">
        <v>100</v>
      </c>
      <c r="C598" s="94" t="s">
        <v>20</v>
      </c>
      <c r="D598" s="94" t="s">
        <v>71</v>
      </c>
      <c r="E598" s="95" t="s">
        <v>72</v>
      </c>
      <c r="F598" s="94" t="s">
        <v>73</v>
      </c>
      <c r="G598" s="96" t="s">
        <v>9</v>
      </c>
      <c r="H598" s="96" t="s">
        <v>291</v>
      </c>
      <c r="I598" s="96" t="s">
        <v>310</v>
      </c>
      <c r="J598" s="96" t="s">
        <v>298</v>
      </c>
      <c r="K598" s="96" t="s">
        <v>290</v>
      </c>
      <c r="L598" s="297"/>
    </row>
    <row r="599" spans="2:11" ht="15">
      <c r="B599" s="55"/>
      <c r="C599" s="55"/>
      <c r="D599" s="55"/>
      <c r="E599" s="56" t="s">
        <v>332</v>
      </c>
      <c r="F599" s="55"/>
      <c r="G599" s="99">
        <v>6</v>
      </c>
      <c r="H599" s="136">
        <v>3</v>
      </c>
      <c r="I599" s="99">
        <v>0.617</v>
      </c>
      <c r="J599" s="99"/>
      <c r="K599" s="100">
        <f>G599*H599*I599</f>
        <v>11.106</v>
      </c>
    </row>
    <row r="600" spans="2:11" ht="15">
      <c r="B600" s="55"/>
      <c r="C600" s="55"/>
      <c r="D600" s="55"/>
      <c r="E600" s="56" t="s">
        <v>333</v>
      </c>
      <c r="F600" s="55"/>
      <c r="G600" s="99">
        <v>6</v>
      </c>
      <c r="H600" s="136">
        <v>3</v>
      </c>
      <c r="I600" s="99">
        <v>0.963</v>
      </c>
      <c r="J600" s="99"/>
      <c r="K600" s="100">
        <f>G600*H600*I600</f>
        <v>17.334</v>
      </c>
    </row>
    <row r="601" spans="2:11" ht="15">
      <c r="B601" s="55"/>
      <c r="C601" s="55"/>
      <c r="D601" s="55"/>
      <c r="E601" s="56" t="s">
        <v>329</v>
      </c>
      <c r="F601" s="55"/>
      <c r="G601" s="119">
        <f>3/0.15</f>
        <v>20</v>
      </c>
      <c r="H601" s="99">
        <f>0.14+0.14+0.24+0.24+0.06</f>
        <v>0.8200000000000001</v>
      </c>
      <c r="I601" s="99">
        <v>0.245</v>
      </c>
      <c r="J601" s="99"/>
      <c r="K601" s="100">
        <f>G601*H601*I601</f>
        <v>4.018000000000001</v>
      </c>
    </row>
    <row r="602" spans="2:11" ht="18" customHeight="1">
      <c r="B602" s="56"/>
      <c r="C602" s="56"/>
      <c r="D602" s="56"/>
      <c r="E602" s="56"/>
      <c r="F602" s="55"/>
      <c r="G602" s="55"/>
      <c r="H602" s="55"/>
      <c r="I602" s="55"/>
      <c r="J602" s="55"/>
      <c r="K602" s="106">
        <f>SUM(K599:K601)</f>
        <v>32.458</v>
      </c>
    </row>
    <row r="603" spans="1:12" s="298" customFormat="1" ht="15.75">
      <c r="A603" s="39"/>
      <c r="B603" s="94" t="s">
        <v>101</v>
      </c>
      <c r="C603" s="94" t="s">
        <v>20</v>
      </c>
      <c r="D603" s="94" t="s">
        <v>94</v>
      </c>
      <c r="E603" s="95" t="s">
        <v>95</v>
      </c>
      <c r="F603" s="94" t="s">
        <v>23</v>
      </c>
      <c r="G603" s="96" t="s">
        <v>9</v>
      </c>
      <c r="H603" s="97" t="s">
        <v>291</v>
      </c>
      <c r="I603" s="96" t="s">
        <v>292</v>
      </c>
      <c r="J603" s="96" t="s">
        <v>298</v>
      </c>
      <c r="K603" s="102" t="s">
        <v>290</v>
      </c>
      <c r="L603" s="297"/>
    </row>
    <row r="604" spans="2:11" ht="15">
      <c r="B604" s="55"/>
      <c r="C604" s="55"/>
      <c r="D604" s="55"/>
      <c r="E604" s="56" t="s">
        <v>351</v>
      </c>
      <c r="F604" s="55"/>
      <c r="G604" s="99">
        <v>2</v>
      </c>
      <c r="H604" s="99">
        <v>3</v>
      </c>
      <c r="I604" s="99">
        <v>0.2</v>
      </c>
      <c r="J604" s="99">
        <v>2</v>
      </c>
      <c r="K604" s="100">
        <f>G604*H604*I604*J604</f>
        <v>2.4000000000000004</v>
      </c>
    </row>
    <row r="605" spans="2:11" ht="15">
      <c r="B605" s="120"/>
      <c r="C605" s="120"/>
      <c r="D605" s="120"/>
      <c r="E605" s="107"/>
      <c r="F605" s="120"/>
      <c r="G605" s="121"/>
      <c r="H605" s="121"/>
      <c r="I605" s="121"/>
      <c r="J605" s="121"/>
      <c r="K605" s="106">
        <f>K604</f>
        <v>2.4000000000000004</v>
      </c>
    </row>
    <row r="606" spans="2:11" ht="15.75">
      <c r="B606" s="91" t="s">
        <v>102</v>
      </c>
      <c r="C606" s="104"/>
      <c r="D606" s="104"/>
      <c r="E606" s="103" t="s">
        <v>103</v>
      </c>
      <c r="F606" s="104"/>
      <c r="G606" s="104"/>
      <c r="H606" s="104"/>
      <c r="I606" s="104"/>
      <c r="J606" s="104"/>
      <c r="K606" s="104"/>
    </row>
    <row r="607" spans="1:12" s="298" customFormat="1" ht="15.75">
      <c r="A607" s="39"/>
      <c r="B607" s="94" t="s">
        <v>104</v>
      </c>
      <c r="C607" s="94" t="s">
        <v>20</v>
      </c>
      <c r="D607" s="94" t="s">
        <v>105</v>
      </c>
      <c r="E607" s="95" t="s">
        <v>106</v>
      </c>
      <c r="F607" s="94" t="s">
        <v>23</v>
      </c>
      <c r="G607" s="96" t="s">
        <v>335</v>
      </c>
      <c r="H607" s="97" t="s">
        <v>291</v>
      </c>
      <c r="I607" s="96" t="s">
        <v>292</v>
      </c>
      <c r="J607" s="96" t="s">
        <v>298</v>
      </c>
      <c r="K607" s="102" t="s">
        <v>290</v>
      </c>
      <c r="L607" s="297"/>
    </row>
    <row r="608" spans="2:11" ht="15">
      <c r="B608" s="55"/>
      <c r="C608" s="55"/>
      <c r="D608" s="55"/>
      <c r="E608" s="56" t="s">
        <v>297</v>
      </c>
      <c r="F608" s="55"/>
      <c r="G608" s="99">
        <v>5</v>
      </c>
      <c r="H608" s="99">
        <f>3-0.4</f>
        <v>2.6</v>
      </c>
      <c r="I608" s="99">
        <v>0.2</v>
      </c>
      <c r="J608" s="99"/>
      <c r="K608" s="99">
        <f>G608*H608*I608</f>
        <v>2.6</v>
      </c>
    </row>
    <row r="609" spans="2:11" ht="18" customHeight="1">
      <c r="B609" s="56"/>
      <c r="C609" s="56"/>
      <c r="D609" s="56"/>
      <c r="E609" s="56"/>
      <c r="F609" s="55"/>
      <c r="G609" s="55"/>
      <c r="H609" s="55"/>
      <c r="I609" s="55"/>
      <c r="J609" s="55"/>
      <c r="K609" s="122">
        <f>SUM(K608:K608)</f>
        <v>2.6</v>
      </c>
    </row>
    <row r="610" spans="1:12" s="298" customFormat="1" ht="31.5">
      <c r="A610" s="39"/>
      <c r="B610" s="94" t="s">
        <v>107</v>
      </c>
      <c r="C610" s="94" t="s">
        <v>20</v>
      </c>
      <c r="D610" s="94" t="s">
        <v>108</v>
      </c>
      <c r="E610" s="101" t="s">
        <v>109</v>
      </c>
      <c r="F610" s="94" t="s">
        <v>55</v>
      </c>
      <c r="G610" s="96" t="s">
        <v>295</v>
      </c>
      <c r="H610" s="97" t="s">
        <v>291</v>
      </c>
      <c r="I610" s="96" t="s">
        <v>292</v>
      </c>
      <c r="J610" s="96" t="s">
        <v>298</v>
      </c>
      <c r="K610" s="102" t="s">
        <v>290</v>
      </c>
      <c r="L610" s="297"/>
    </row>
    <row r="611" spans="2:11" ht="15">
      <c r="B611" s="55"/>
      <c r="C611" s="55"/>
      <c r="D611" s="55"/>
      <c r="E611" s="107" t="s">
        <v>395</v>
      </c>
      <c r="F611" s="55"/>
      <c r="G611" s="99">
        <v>0.02</v>
      </c>
      <c r="H611" s="136">
        <v>3</v>
      </c>
      <c r="I611" s="100">
        <v>1.6</v>
      </c>
      <c r="J611" s="99">
        <v>2</v>
      </c>
      <c r="K611" s="100">
        <f>G611*H611*I611*J611</f>
        <v>0.192</v>
      </c>
    </row>
    <row r="612" spans="2:11" ht="15">
      <c r="B612" s="55"/>
      <c r="C612" s="55"/>
      <c r="D612" s="55"/>
      <c r="E612" s="141" t="s">
        <v>396</v>
      </c>
      <c r="F612" s="55"/>
      <c r="G612" s="99">
        <v>0.02</v>
      </c>
      <c r="H612" s="136">
        <v>3</v>
      </c>
      <c r="I612" s="100">
        <v>0.4</v>
      </c>
      <c r="J612" s="99"/>
      <c r="K612" s="100">
        <f>G612*H612*I612</f>
        <v>0.024</v>
      </c>
    </row>
    <row r="613" spans="2:11" ht="15">
      <c r="B613" s="55"/>
      <c r="C613" s="55"/>
      <c r="D613" s="55"/>
      <c r="E613" s="107" t="s">
        <v>336</v>
      </c>
      <c r="F613" s="55"/>
      <c r="G613" s="99">
        <v>0.2</v>
      </c>
      <c r="H613" s="136">
        <v>3</v>
      </c>
      <c r="I613" s="99">
        <v>0.02</v>
      </c>
      <c r="J613" s="99"/>
      <c r="K613" s="100">
        <f>G613*H613*I613</f>
        <v>0.012000000000000002</v>
      </c>
    </row>
    <row r="614" spans="2:11" ht="18" customHeight="1">
      <c r="B614" s="56"/>
      <c r="C614" s="56"/>
      <c r="D614" s="56"/>
      <c r="E614" s="56"/>
      <c r="F614" s="55"/>
      <c r="G614" s="55"/>
      <c r="H614" s="55"/>
      <c r="I614" s="55"/>
      <c r="J614" s="55"/>
      <c r="K614" s="106">
        <f>SUM(K611:K613)</f>
        <v>0.228</v>
      </c>
    </row>
    <row r="615" spans="1:12" s="298" customFormat="1" ht="15.75">
      <c r="A615" s="39"/>
      <c r="B615" s="123" t="s">
        <v>110</v>
      </c>
      <c r="C615" s="123" t="s">
        <v>20</v>
      </c>
      <c r="D615" s="123" t="s">
        <v>111</v>
      </c>
      <c r="E615" s="124" t="s">
        <v>112</v>
      </c>
      <c r="F615" s="123" t="s">
        <v>23</v>
      </c>
      <c r="G615" s="123" t="s">
        <v>295</v>
      </c>
      <c r="H615" s="125" t="s">
        <v>291</v>
      </c>
      <c r="I615" s="123" t="s">
        <v>292</v>
      </c>
      <c r="J615" s="123" t="s">
        <v>303</v>
      </c>
      <c r="K615" s="126" t="s">
        <v>290</v>
      </c>
      <c r="L615" s="297"/>
    </row>
    <row r="616" spans="2:11" ht="15">
      <c r="B616" s="57"/>
      <c r="C616" s="57"/>
      <c r="D616" s="57"/>
      <c r="E616" s="107" t="s">
        <v>395</v>
      </c>
      <c r="F616" s="57"/>
      <c r="G616" s="57"/>
      <c r="H616" s="137">
        <v>3</v>
      </c>
      <c r="I616" s="128">
        <v>1.6</v>
      </c>
      <c r="J616" s="57">
        <v>2</v>
      </c>
      <c r="K616" s="128">
        <f>H616*I616*J616</f>
        <v>9.600000000000001</v>
      </c>
    </row>
    <row r="617" spans="2:11" ht="15">
      <c r="B617" s="57"/>
      <c r="C617" s="57"/>
      <c r="D617" s="57"/>
      <c r="E617" s="141" t="s">
        <v>396</v>
      </c>
      <c r="F617" s="57"/>
      <c r="G617" s="57"/>
      <c r="H617" s="137">
        <v>3</v>
      </c>
      <c r="I617" s="128">
        <v>0.4</v>
      </c>
      <c r="J617" s="57"/>
      <c r="K617" s="128">
        <f>H617*I617</f>
        <v>1.2000000000000002</v>
      </c>
    </row>
    <row r="618" spans="2:11" ht="15">
      <c r="B618" s="57"/>
      <c r="C618" s="57"/>
      <c r="D618" s="57"/>
      <c r="E618" s="107" t="s">
        <v>336</v>
      </c>
      <c r="F618" s="57"/>
      <c r="G618" s="57">
        <v>0.2</v>
      </c>
      <c r="H618" s="137">
        <v>3</v>
      </c>
      <c r="I618" s="57"/>
      <c r="J618" s="57"/>
      <c r="K618" s="128">
        <f>G618*H618</f>
        <v>0.6000000000000001</v>
      </c>
    </row>
    <row r="619" spans="2:11" ht="18" customHeight="1">
      <c r="B619" s="129"/>
      <c r="C619" s="129"/>
      <c r="D619" s="129"/>
      <c r="E619" s="129"/>
      <c r="F619" s="57"/>
      <c r="G619" s="57"/>
      <c r="H619" s="57"/>
      <c r="I619" s="57"/>
      <c r="J619" s="57"/>
      <c r="K619" s="130">
        <f>SUM(K616:K618)</f>
        <v>11.4</v>
      </c>
    </row>
    <row r="620" spans="1:12" s="298" customFormat="1" ht="15.75">
      <c r="A620" s="39"/>
      <c r="B620" s="123" t="s">
        <v>113</v>
      </c>
      <c r="C620" s="123" t="s">
        <v>20</v>
      </c>
      <c r="D620" s="123" t="s">
        <v>71</v>
      </c>
      <c r="E620" s="124" t="s">
        <v>72</v>
      </c>
      <c r="F620" s="123" t="s">
        <v>73</v>
      </c>
      <c r="G620" s="123" t="s">
        <v>9</v>
      </c>
      <c r="H620" s="123" t="s">
        <v>291</v>
      </c>
      <c r="I620" s="123" t="s">
        <v>310</v>
      </c>
      <c r="J620" s="123"/>
      <c r="K620" s="123" t="s">
        <v>290</v>
      </c>
      <c r="L620" s="297"/>
    </row>
    <row r="621" spans="2:11" ht="15">
      <c r="B621" s="57"/>
      <c r="C621" s="57"/>
      <c r="D621" s="57"/>
      <c r="E621" s="129" t="s">
        <v>337</v>
      </c>
      <c r="F621" s="57"/>
      <c r="G621" s="57">
        <v>2</v>
      </c>
      <c r="H621" s="137">
        <v>3</v>
      </c>
      <c r="I621" s="57">
        <v>0.245</v>
      </c>
      <c r="J621" s="57"/>
      <c r="K621" s="128">
        <f>G621*H621*I621</f>
        <v>1.47</v>
      </c>
    </row>
    <row r="622" spans="2:11" ht="15">
      <c r="B622" s="57"/>
      <c r="C622" s="57"/>
      <c r="D622" s="57"/>
      <c r="E622" s="129" t="s">
        <v>338</v>
      </c>
      <c r="F622" s="57"/>
      <c r="G622" s="57">
        <v>1</v>
      </c>
      <c r="H622" s="137">
        <v>3</v>
      </c>
      <c r="I622" s="57">
        <v>0.395</v>
      </c>
      <c r="J622" s="57"/>
      <c r="K622" s="128">
        <f>G622*H622*I622</f>
        <v>1.185</v>
      </c>
    </row>
    <row r="623" spans="2:11" ht="18" customHeight="1">
      <c r="B623" s="129"/>
      <c r="C623" s="129"/>
      <c r="D623" s="129"/>
      <c r="E623" s="129"/>
      <c r="F623" s="57"/>
      <c r="G623" s="57"/>
      <c r="H623" s="57"/>
      <c r="I623" s="57"/>
      <c r="J623" s="57"/>
      <c r="K623" s="130">
        <f>SUM(K621:K622)</f>
        <v>2.6550000000000002</v>
      </c>
    </row>
    <row r="624" spans="1:12" s="298" customFormat="1" ht="31.5">
      <c r="A624" s="39"/>
      <c r="B624" s="123" t="s">
        <v>114</v>
      </c>
      <c r="C624" s="123" t="s">
        <v>20</v>
      </c>
      <c r="D624" s="123" t="s">
        <v>115</v>
      </c>
      <c r="E624" s="131" t="s">
        <v>116</v>
      </c>
      <c r="F624" s="123" t="s">
        <v>23</v>
      </c>
      <c r="G624" s="123"/>
      <c r="H624" s="125" t="s">
        <v>291</v>
      </c>
      <c r="I624" s="123" t="s">
        <v>292</v>
      </c>
      <c r="J624" s="123"/>
      <c r="K624" s="126" t="s">
        <v>290</v>
      </c>
      <c r="L624" s="297"/>
    </row>
    <row r="625" spans="2:11" ht="15">
      <c r="B625" s="57"/>
      <c r="C625" s="57"/>
      <c r="D625" s="57"/>
      <c r="E625" s="127"/>
      <c r="F625" s="57"/>
      <c r="G625" s="57"/>
      <c r="H625" s="137">
        <v>3.05</v>
      </c>
      <c r="I625" s="57">
        <v>1.1</v>
      </c>
      <c r="J625" s="57"/>
      <c r="K625" s="249">
        <f>H625*I625</f>
        <v>3.355</v>
      </c>
    </row>
    <row r="626" spans="1:12" s="298" customFormat="1" ht="15.75">
      <c r="A626" s="39"/>
      <c r="B626" s="123" t="s">
        <v>117</v>
      </c>
      <c r="C626" s="123" t="s">
        <v>20</v>
      </c>
      <c r="D626" s="123" t="s">
        <v>118</v>
      </c>
      <c r="E626" s="124" t="s">
        <v>119</v>
      </c>
      <c r="F626" s="123" t="s">
        <v>23</v>
      </c>
      <c r="G626" s="123"/>
      <c r="H626" s="125" t="s">
        <v>291</v>
      </c>
      <c r="I626" s="123" t="s">
        <v>292</v>
      </c>
      <c r="J626" s="123" t="s">
        <v>298</v>
      </c>
      <c r="K626" s="126" t="s">
        <v>290</v>
      </c>
      <c r="L626" s="297"/>
    </row>
    <row r="627" spans="2:11" ht="15">
      <c r="B627" s="57"/>
      <c r="C627" s="57"/>
      <c r="D627" s="57"/>
      <c r="E627" s="107" t="s">
        <v>395</v>
      </c>
      <c r="F627" s="57"/>
      <c r="G627" s="57"/>
      <c r="H627" s="137">
        <v>3</v>
      </c>
      <c r="I627" s="128">
        <v>1.6</v>
      </c>
      <c r="J627" s="57">
        <v>2</v>
      </c>
      <c r="K627" s="128">
        <f>H627*I627*J627</f>
        <v>9.600000000000001</v>
      </c>
    </row>
    <row r="628" spans="2:11" ht="15">
      <c r="B628" s="57"/>
      <c r="C628" s="57"/>
      <c r="D628" s="57"/>
      <c r="E628" s="141" t="s">
        <v>396</v>
      </c>
      <c r="F628" s="57"/>
      <c r="G628" s="57"/>
      <c r="H628" s="137">
        <v>3</v>
      </c>
      <c r="I628" s="128">
        <v>0.4</v>
      </c>
      <c r="J628" s="57"/>
      <c r="K628" s="128">
        <f>H628*I628</f>
        <v>1.2000000000000002</v>
      </c>
    </row>
    <row r="629" spans="2:11" ht="15">
      <c r="B629" s="57"/>
      <c r="C629" s="57"/>
      <c r="D629" s="57"/>
      <c r="E629" s="107" t="s">
        <v>336</v>
      </c>
      <c r="F629" s="57"/>
      <c r="G629" s="57">
        <v>0.2</v>
      </c>
      <c r="H629" s="137">
        <v>3</v>
      </c>
      <c r="I629" s="57"/>
      <c r="J629" s="57"/>
      <c r="K629" s="128">
        <f>G629*H629</f>
        <v>0.6000000000000001</v>
      </c>
    </row>
    <row r="630" spans="2:11" ht="18" customHeight="1">
      <c r="B630" s="129"/>
      <c r="C630" s="129"/>
      <c r="D630" s="129"/>
      <c r="E630" s="129"/>
      <c r="F630" s="57"/>
      <c r="G630" s="57"/>
      <c r="H630" s="57"/>
      <c r="I630" s="57"/>
      <c r="J630" s="57"/>
      <c r="K630" s="130">
        <f>SUM(K627:K629)</f>
        <v>11.4</v>
      </c>
    </row>
    <row r="631" spans="2:11" ht="15.75">
      <c r="B631" s="92" t="s">
        <v>120</v>
      </c>
      <c r="C631" s="132"/>
      <c r="D631" s="132"/>
      <c r="E631" s="93" t="s">
        <v>121</v>
      </c>
      <c r="F631" s="132"/>
      <c r="G631" s="132"/>
      <c r="H631" s="132"/>
      <c r="I631" s="132"/>
      <c r="J631" s="132"/>
      <c r="K631" s="132"/>
    </row>
    <row r="632" spans="1:12" s="298" customFormat="1" ht="15.75">
      <c r="A632" s="39"/>
      <c r="B632" s="55" t="s">
        <v>76</v>
      </c>
      <c r="C632" s="55" t="s">
        <v>20</v>
      </c>
      <c r="D632" s="55" t="s">
        <v>77</v>
      </c>
      <c r="E632" s="56" t="s">
        <v>78</v>
      </c>
      <c r="F632" s="123" t="s">
        <v>55</v>
      </c>
      <c r="G632" s="125" t="s">
        <v>295</v>
      </c>
      <c r="H632" s="125" t="s">
        <v>291</v>
      </c>
      <c r="I632" s="123" t="s">
        <v>292</v>
      </c>
      <c r="J632" s="123" t="s">
        <v>298</v>
      </c>
      <c r="K632" s="123" t="s">
        <v>290</v>
      </c>
      <c r="L632" s="299"/>
    </row>
    <row r="633" spans="2:11" ht="15">
      <c r="B633" s="57"/>
      <c r="C633" s="57"/>
      <c r="D633" s="57"/>
      <c r="E633" s="127" t="s">
        <v>340</v>
      </c>
      <c r="F633" s="57"/>
      <c r="G633" s="128">
        <v>0.2</v>
      </c>
      <c r="H633" s="128">
        <v>3</v>
      </c>
      <c r="I633" s="128">
        <v>1.6</v>
      </c>
      <c r="J633" s="128"/>
      <c r="K633" s="249">
        <f>G633*H633*I633</f>
        <v>0.9600000000000002</v>
      </c>
    </row>
    <row r="634" spans="1:12" s="298" customFormat="1" ht="15.75">
      <c r="A634" s="39"/>
      <c r="B634" s="55" t="s">
        <v>79</v>
      </c>
      <c r="C634" s="55" t="s">
        <v>20</v>
      </c>
      <c r="D634" s="55" t="s">
        <v>80</v>
      </c>
      <c r="E634" s="56" t="s">
        <v>81</v>
      </c>
      <c r="F634" s="123" t="s">
        <v>55</v>
      </c>
      <c r="G634" s="125" t="s">
        <v>295</v>
      </c>
      <c r="H634" s="125" t="s">
        <v>291</v>
      </c>
      <c r="I634" s="123" t="s">
        <v>292</v>
      </c>
      <c r="J634" s="123" t="s">
        <v>298</v>
      </c>
      <c r="K634" s="123" t="s">
        <v>290</v>
      </c>
      <c r="L634" s="297"/>
    </row>
    <row r="635" spans="2:11" ht="18" customHeight="1">
      <c r="B635" s="129"/>
      <c r="C635" s="129"/>
      <c r="D635" s="129"/>
      <c r="E635" s="127" t="s">
        <v>341</v>
      </c>
      <c r="F635" s="57"/>
      <c r="G635" s="128">
        <v>0.2</v>
      </c>
      <c r="H635" s="128">
        <v>3</v>
      </c>
      <c r="I635" s="128">
        <v>1.6</v>
      </c>
      <c r="J635" s="128"/>
      <c r="K635" s="249">
        <f>G635*H635*I635</f>
        <v>0.9600000000000002</v>
      </c>
    </row>
    <row r="636" spans="2:11" ht="15">
      <c r="B636" s="118"/>
      <c r="C636" s="118"/>
      <c r="D636" s="118"/>
      <c r="E636" s="118"/>
      <c r="F636" s="99"/>
      <c r="G636" s="99"/>
      <c r="H636" s="99"/>
      <c r="I636" s="99"/>
      <c r="J636" s="99"/>
      <c r="K636" s="99"/>
    </row>
    <row r="637" spans="2:11" ht="12.75">
      <c r="B637" s="315" t="s">
        <v>361</v>
      </c>
      <c r="C637" s="315"/>
      <c r="D637" s="315"/>
      <c r="E637" s="315"/>
      <c r="F637" s="315"/>
      <c r="G637" s="315"/>
      <c r="H637" s="315"/>
      <c r="I637" s="315"/>
      <c r="J637" s="315"/>
      <c r="K637" s="315"/>
    </row>
    <row r="638" spans="2:11" ht="12.75">
      <c r="B638" s="315"/>
      <c r="C638" s="315"/>
      <c r="D638" s="315"/>
      <c r="E638" s="315"/>
      <c r="F638" s="315"/>
      <c r="G638" s="315"/>
      <c r="H638" s="315"/>
      <c r="I638" s="315"/>
      <c r="J638" s="315"/>
      <c r="K638" s="315"/>
    </row>
    <row r="639" spans="2:11" ht="15">
      <c r="B639" s="118"/>
      <c r="C639" s="118"/>
      <c r="D639" s="118"/>
      <c r="E639" s="118"/>
      <c r="F639" s="99"/>
      <c r="G639" s="99"/>
      <c r="H639" s="99"/>
      <c r="I639" s="99"/>
      <c r="J639" s="99"/>
      <c r="K639" s="99"/>
    </row>
    <row r="640" spans="2:11" ht="15.75">
      <c r="B640" s="92" t="s">
        <v>120</v>
      </c>
      <c r="C640" s="132"/>
      <c r="D640" s="132"/>
      <c r="E640" s="93" t="s">
        <v>361</v>
      </c>
      <c r="F640" s="132"/>
      <c r="G640" s="132"/>
      <c r="H640" s="132"/>
      <c r="I640" s="132"/>
      <c r="J640" s="132"/>
      <c r="K640" s="132"/>
    </row>
    <row r="641" spans="2:11" ht="15.75">
      <c r="B641" s="123"/>
      <c r="C641" s="57"/>
      <c r="D641" s="57"/>
      <c r="E641" s="145" t="s">
        <v>402</v>
      </c>
      <c r="F641" s="123" t="s">
        <v>23</v>
      </c>
      <c r="G641" s="125" t="s">
        <v>295</v>
      </c>
      <c r="H641" s="125" t="s">
        <v>291</v>
      </c>
      <c r="I641" s="123"/>
      <c r="J641" s="123"/>
      <c r="K641" s="126" t="s">
        <v>290</v>
      </c>
    </row>
    <row r="642" spans="2:11" ht="15.75">
      <c r="B642" s="123"/>
      <c r="C642" s="57"/>
      <c r="D642" s="57"/>
      <c r="E642" s="129" t="s">
        <v>404</v>
      </c>
      <c r="F642" s="57"/>
      <c r="G642" s="128">
        <v>2.8</v>
      </c>
      <c r="H642" s="128">
        <v>18.3</v>
      </c>
      <c r="I642" s="128"/>
      <c r="J642" s="128"/>
      <c r="K642" s="128">
        <f>G642*H642</f>
        <v>51.24</v>
      </c>
    </row>
    <row r="643" spans="2:11" ht="15.75">
      <c r="B643" s="123"/>
      <c r="C643" s="57"/>
      <c r="D643" s="57"/>
      <c r="E643" s="124"/>
      <c r="F643" s="57"/>
      <c r="G643" s="57"/>
      <c r="H643" s="57"/>
      <c r="I643" s="57"/>
      <c r="J643" s="57"/>
      <c r="K643" s="249">
        <f>SUM(K642:K642)</f>
        <v>51.24</v>
      </c>
    </row>
    <row r="644" spans="2:11" ht="15.75">
      <c r="B644" s="123" t="s">
        <v>122</v>
      </c>
      <c r="C644" s="123" t="s">
        <v>20</v>
      </c>
      <c r="D644" s="123" t="s">
        <v>362</v>
      </c>
      <c r="E644" s="95" t="s">
        <v>54</v>
      </c>
      <c r="F644" s="123" t="s">
        <v>55</v>
      </c>
      <c r="G644" s="125" t="s">
        <v>295</v>
      </c>
      <c r="H644" s="125" t="s">
        <v>291</v>
      </c>
      <c r="I644" s="123" t="s">
        <v>292</v>
      </c>
      <c r="J644" s="123" t="s">
        <v>298</v>
      </c>
      <c r="K644" s="123" t="s">
        <v>290</v>
      </c>
    </row>
    <row r="645" spans="2:11" ht="15.75">
      <c r="B645" s="123"/>
      <c r="C645" s="123"/>
      <c r="D645" s="123"/>
      <c r="E645" s="56" t="s">
        <v>363</v>
      </c>
      <c r="F645" s="123"/>
      <c r="G645" s="138">
        <v>2.5</v>
      </c>
      <c r="H645" s="138">
        <v>18.3</v>
      </c>
      <c r="I645" s="128">
        <v>0.06</v>
      </c>
      <c r="J645" s="128"/>
      <c r="K645" s="128">
        <f>G645*H645*I645</f>
        <v>2.745</v>
      </c>
    </row>
    <row r="646" spans="2:11" ht="15.75">
      <c r="B646" s="118"/>
      <c r="C646" s="118"/>
      <c r="D646" s="118"/>
      <c r="E646" s="56"/>
      <c r="F646" s="99"/>
      <c r="G646" s="99"/>
      <c r="H646" s="99"/>
      <c r="I646" s="99"/>
      <c r="J646" s="99"/>
      <c r="K646" s="139">
        <f>SUM(K645:K645)</f>
        <v>2.745</v>
      </c>
    </row>
    <row r="647" spans="2:11" ht="47.25">
      <c r="B647" s="118"/>
      <c r="C647" s="118"/>
      <c r="D647" s="118"/>
      <c r="E647" s="101" t="s">
        <v>64</v>
      </c>
      <c r="F647" s="123" t="s">
        <v>55</v>
      </c>
      <c r="G647" s="125" t="s">
        <v>295</v>
      </c>
      <c r="H647" s="125" t="s">
        <v>291</v>
      </c>
      <c r="I647" s="123" t="s">
        <v>292</v>
      </c>
      <c r="J647" s="123" t="s">
        <v>298</v>
      </c>
      <c r="K647" s="123" t="s">
        <v>290</v>
      </c>
    </row>
    <row r="648" spans="2:11" ht="15">
      <c r="B648" s="118"/>
      <c r="C648" s="118"/>
      <c r="D648" s="118"/>
      <c r="E648" s="56" t="s">
        <v>363</v>
      </c>
      <c r="F648" s="99"/>
      <c r="G648" s="138">
        <v>2.5</v>
      </c>
      <c r="H648" s="138">
        <v>18.3</v>
      </c>
      <c r="I648" s="128">
        <v>0.06</v>
      </c>
      <c r="J648" s="99"/>
      <c r="K648" s="130">
        <f>G648*H648*I648</f>
        <v>2.745</v>
      </c>
    </row>
    <row r="649" spans="2:11" ht="15.75">
      <c r="B649" s="118"/>
      <c r="C649" s="118"/>
      <c r="D649" s="118"/>
      <c r="E649" s="95" t="s">
        <v>403</v>
      </c>
      <c r="F649" s="99"/>
      <c r="G649" s="125" t="s">
        <v>295</v>
      </c>
      <c r="H649" s="125" t="s">
        <v>291</v>
      </c>
      <c r="I649" s="128"/>
      <c r="J649" s="99"/>
      <c r="K649" s="130"/>
    </row>
    <row r="650" spans="2:11" ht="15">
      <c r="B650" s="118"/>
      <c r="C650" s="118"/>
      <c r="D650" s="118"/>
      <c r="E650" s="56"/>
      <c r="F650" s="99"/>
      <c r="G650" s="138"/>
      <c r="H650" s="138"/>
      <c r="I650" s="128"/>
      <c r="J650" s="99"/>
      <c r="K650" s="130"/>
    </row>
    <row r="651" spans="2:11" ht="15.75">
      <c r="B651" s="118"/>
      <c r="C651" s="118"/>
      <c r="D651" s="118"/>
      <c r="E651" s="95"/>
      <c r="F651" s="99"/>
      <c r="G651" s="138"/>
      <c r="H651" s="138"/>
      <c r="I651" s="128"/>
      <c r="J651" s="99"/>
      <c r="K651" s="130"/>
    </row>
    <row r="652" spans="2:11" ht="15.75">
      <c r="B652" s="118"/>
      <c r="C652" s="118"/>
      <c r="D652" s="118"/>
      <c r="E652" s="95" t="s">
        <v>61</v>
      </c>
      <c r="F652" s="123" t="s">
        <v>55</v>
      </c>
      <c r="G652" s="125" t="s">
        <v>295</v>
      </c>
      <c r="H652" s="125" t="s">
        <v>291</v>
      </c>
      <c r="I652" s="123" t="s">
        <v>292</v>
      </c>
      <c r="J652" s="123" t="s">
        <v>298</v>
      </c>
      <c r="K652" s="123" t="s">
        <v>290</v>
      </c>
    </row>
    <row r="653" spans="2:11" ht="15">
      <c r="B653" s="118"/>
      <c r="C653" s="118"/>
      <c r="D653" s="118"/>
      <c r="E653" s="56" t="s">
        <v>363</v>
      </c>
      <c r="F653" s="99"/>
      <c r="G653" s="138">
        <v>2.8</v>
      </c>
      <c r="H653" s="138">
        <v>18.3</v>
      </c>
      <c r="I653" s="128">
        <v>0.03</v>
      </c>
      <c r="J653" s="99"/>
      <c r="K653" s="128">
        <f aca="true" t="shared" si="5" ref="K653:K658">G653*H653*I653</f>
        <v>1.5372</v>
      </c>
    </row>
    <row r="654" spans="2:11" ht="15">
      <c r="B654" s="118"/>
      <c r="C654" s="118"/>
      <c r="D654" s="118"/>
      <c r="E654" s="129" t="s">
        <v>405</v>
      </c>
      <c r="F654" s="99"/>
      <c r="G654" s="138">
        <v>1.3</v>
      </c>
      <c r="H654" s="138">
        <f>0.95+0.7</f>
        <v>1.65</v>
      </c>
      <c r="I654" s="128">
        <v>0.03</v>
      </c>
      <c r="J654" s="99"/>
      <c r="K654" s="128">
        <f t="shared" si="5"/>
        <v>0.06435</v>
      </c>
    </row>
    <row r="655" spans="2:11" ht="15">
      <c r="B655" s="118"/>
      <c r="C655" s="118"/>
      <c r="D655" s="118"/>
      <c r="E655" s="129" t="s">
        <v>406</v>
      </c>
      <c r="F655" s="99"/>
      <c r="G655" s="138">
        <v>1.1</v>
      </c>
      <c r="H655" s="138">
        <f>0.9+0.9</f>
        <v>1.8</v>
      </c>
      <c r="I655" s="128">
        <v>0.03</v>
      </c>
      <c r="J655" s="99"/>
      <c r="K655" s="128">
        <f t="shared" si="5"/>
        <v>0.0594</v>
      </c>
    </row>
    <row r="656" spans="2:11" ht="15">
      <c r="B656" s="118"/>
      <c r="C656" s="118"/>
      <c r="D656" s="118"/>
      <c r="E656" s="129" t="s">
        <v>407</v>
      </c>
      <c r="F656" s="99"/>
      <c r="G656" s="138">
        <v>1.1</v>
      </c>
      <c r="H656" s="138">
        <v>0.9</v>
      </c>
      <c r="I656" s="128">
        <v>0.03</v>
      </c>
      <c r="J656" s="99"/>
      <c r="K656" s="128">
        <f t="shared" si="5"/>
        <v>0.0297</v>
      </c>
    </row>
    <row r="657" spans="2:11" ht="15">
      <c r="B657" s="118"/>
      <c r="C657" s="118"/>
      <c r="D657" s="118"/>
      <c r="E657" s="129" t="s">
        <v>408</v>
      </c>
      <c r="F657" s="99"/>
      <c r="G657" s="138">
        <v>1.1</v>
      </c>
      <c r="H657" s="138">
        <f>0.9+0.9</f>
        <v>1.8</v>
      </c>
      <c r="I657" s="128">
        <v>0.03</v>
      </c>
      <c r="J657" s="99"/>
      <c r="K657" s="128">
        <f t="shared" si="5"/>
        <v>0.0594</v>
      </c>
    </row>
    <row r="658" spans="2:11" ht="15">
      <c r="B658" s="118"/>
      <c r="C658" s="118"/>
      <c r="D658" s="118"/>
      <c r="E658" s="129" t="s">
        <v>409</v>
      </c>
      <c r="F658" s="99"/>
      <c r="G658" s="138">
        <v>0.9</v>
      </c>
      <c r="H658" s="138">
        <v>1.4</v>
      </c>
      <c r="I658" s="128">
        <v>0.03</v>
      </c>
      <c r="J658" s="99"/>
      <c r="K658" s="128">
        <f t="shared" si="5"/>
        <v>0.0378</v>
      </c>
    </row>
    <row r="659" spans="2:11" ht="54">
      <c r="B659" s="118"/>
      <c r="C659" s="118"/>
      <c r="D659" s="261">
        <v>94990</v>
      </c>
      <c r="E659" s="262" t="s">
        <v>425</v>
      </c>
      <c r="F659" s="263" t="s">
        <v>424</v>
      </c>
      <c r="G659" s="125" t="s">
        <v>295</v>
      </c>
      <c r="H659" s="125" t="s">
        <v>291</v>
      </c>
      <c r="I659" s="123" t="s">
        <v>292</v>
      </c>
      <c r="J659" s="123" t="s">
        <v>298</v>
      </c>
      <c r="K659" s="123" t="s">
        <v>290</v>
      </c>
    </row>
    <row r="660" spans="2:11" ht="15">
      <c r="B660" s="118"/>
      <c r="C660" s="118"/>
      <c r="D660" s="118"/>
      <c r="E660" s="129"/>
      <c r="F660" s="99"/>
      <c r="G660" s="138">
        <v>2.8</v>
      </c>
      <c r="H660" s="138">
        <v>18.3</v>
      </c>
      <c r="I660" s="128">
        <v>0.06</v>
      </c>
      <c r="J660" s="99"/>
      <c r="K660" s="128">
        <f>G660*H660*I660</f>
        <v>3.0744</v>
      </c>
    </row>
    <row r="661" spans="2:11" ht="15">
      <c r="B661" s="118"/>
      <c r="C661" s="118"/>
      <c r="D661" s="118"/>
      <c r="E661" s="129"/>
      <c r="F661" s="99"/>
      <c r="G661" s="138"/>
      <c r="H661" s="138"/>
      <c r="I661" s="128"/>
      <c r="J661" s="99"/>
      <c r="K661" s="128"/>
    </row>
    <row r="662" spans="2:11" ht="15">
      <c r="B662" s="118"/>
      <c r="C662" s="118"/>
      <c r="D662" s="118"/>
      <c r="E662" s="56"/>
      <c r="F662" s="99"/>
      <c r="G662" s="100"/>
      <c r="H662" s="100"/>
      <c r="I662" s="128"/>
      <c r="J662" s="146"/>
      <c r="K662" s="130">
        <f>SUM(K653:K658)</f>
        <v>1.7878499999999997</v>
      </c>
    </row>
    <row r="663" spans="2:11" ht="15.75">
      <c r="B663" s="118"/>
      <c r="C663" s="118"/>
      <c r="D663" s="118"/>
      <c r="E663" s="95" t="s">
        <v>78</v>
      </c>
      <c r="F663" s="123" t="s">
        <v>55</v>
      </c>
      <c r="G663" s="125" t="s">
        <v>295</v>
      </c>
      <c r="H663" s="125" t="s">
        <v>291</v>
      </c>
      <c r="I663" s="123" t="s">
        <v>292</v>
      </c>
      <c r="J663" s="123" t="s">
        <v>298</v>
      </c>
      <c r="K663" s="123" t="s">
        <v>290</v>
      </c>
    </row>
    <row r="664" spans="2:11" ht="15">
      <c r="B664" s="118"/>
      <c r="C664" s="118"/>
      <c r="D664" s="118"/>
      <c r="E664" s="129" t="s">
        <v>405</v>
      </c>
      <c r="F664" s="57"/>
      <c r="G664" s="128">
        <v>1.3</v>
      </c>
      <c r="H664" s="128">
        <v>4.9</v>
      </c>
      <c r="I664" s="128">
        <v>0.06</v>
      </c>
      <c r="J664" s="128"/>
      <c r="K664" s="128">
        <f>G664*H664*I664</f>
        <v>0.38220000000000004</v>
      </c>
    </row>
    <row r="665" spans="2:11" ht="15">
      <c r="B665" s="118"/>
      <c r="C665" s="118"/>
      <c r="D665" s="118"/>
      <c r="E665" s="129" t="s">
        <v>406</v>
      </c>
      <c r="F665" s="57"/>
      <c r="G665" s="128">
        <v>1.1</v>
      </c>
      <c r="H665" s="128">
        <v>4.48</v>
      </c>
      <c r="I665" s="128">
        <v>0.06</v>
      </c>
      <c r="J665" s="128"/>
      <c r="K665" s="128">
        <f>G665*H665*I665</f>
        <v>0.29568000000000005</v>
      </c>
    </row>
    <row r="666" spans="2:11" ht="15">
      <c r="B666" s="118"/>
      <c r="C666" s="118"/>
      <c r="D666" s="118"/>
      <c r="E666" s="129" t="s">
        <v>407</v>
      </c>
      <c r="F666" s="57"/>
      <c r="G666" s="128">
        <v>1.1</v>
      </c>
      <c r="H666" s="128">
        <v>1.5</v>
      </c>
      <c r="I666" s="128">
        <v>0.06</v>
      </c>
      <c r="J666" s="128"/>
      <c r="K666" s="128">
        <f>G666*H666*I666</f>
        <v>0.099</v>
      </c>
    </row>
    <row r="667" spans="2:11" ht="15">
      <c r="B667" s="118"/>
      <c r="C667" s="118"/>
      <c r="D667" s="118"/>
      <c r="E667" s="129" t="s">
        <v>408</v>
      </c>
      <c r="F667" s="57"/>
      <c r="G667" s="128">
        <v>1.1</v>
      </c>
      <c r="H667" s="128">
        <v>4.48</v>
      </c>
      <c r="I667" s="128">
        <v>0.06</v>
      </c>
      <c r="J667" s="128"/>
      <c r="K667" s="128">
        <f>G667*H667*I667</f>
        <v>0.29568000000000005</v>
      </c>
    </row>
    <row r="668" spans="2:11" ht="15">
      <c r="B668" s="118"/>
      <c r="C668" s="118"/>
      <c r="D668" s="118"/>
      <c r="E668" s="129" t="s">
        <v>409</v>
      </c>
      <c r="F668" s="57"/>
      <c r="G668" s="128">
        <v>0.9</v>
      </c>
      <c r="H668" s="128">
        <v>3.1</v>
      </c>
      <c r="I668" s="128">
        <v>0.06</v>
      </c>
      <c r="J668" s="128"/>
      <c r="K668" s="128">
        <f>G668*H668*I668</f>
        <v>0.1674</v>
      </c>
    </row>
    <row r="669" spans="2:11" ht="15">
      <c r="B669" s="118"/>
      <c r="C669" s="118"/>
      <c r="D669" s="118"/>
      <c r="E669" s="56"/>
      <c r="F669" s="99"/>
      <c r="G669" s="100"/>
      <c r="H669" s="100"/>
      <c r="I669" s="128"/>
      <c r="J669" s="146"/>
      <c r="K669" s="130">
        <f>SUM(K664:K668)</f>
        <v>1.2399600000000002</v>
      </c>
    </row>
    <row r="670" spans="2:11" ht="15.75">
      <c r="B670" s="118"/>
      <c r="C670" s="118"/>
      <c r="D670" s="118"/>
      <c r="E670" s="95" t="s">
        <v>81</v>
      </c>
      <c r="F670" s="123" t="s">
        <v>55</v>
      </c>
      <c r="G670" s="125" t="s">
        <v>295</v>
      </c>
      <c r="H670" s="125" t="s">
        <v>291</v>
      </c>
      <c r="I670" s="123" t="s">
        <v>292</v>
      </c>
      <c r="J670" s="123" t="s">
        <v>298</v>
      </c>
      <c r="K670" s="123" t="s">
        <v>290</v>
      </c>
    </row>
    <row r="671" spans="2:11" ht="15">
      <c r="B671" s="118"/>
      <c r="C671" s="118"/>
      <c r="D671" s="118"/>
      <c r="E671" s="129" t="s">
        <v>405</v>
      </c>
      <c r="F671" s="57"/>
      <c r="G671" s="128">
        <v>1.3</v>
      </c>
      <c r="H671" s="128">
        <v>4.9</v>
      </c>
      <c r="I671" s="128">
        <v>0.06</v>
      </c>
      <c r="J671" s="128"/>
      <c r="K671" s="128">
        <f>G671*H671*I671</f>
        <v>0.38220000000000004</v>
      </c>
    </row>
    <row r="672" spans="2:11" ht="15">
      <c r="B672" s="118"/>
      <c r="C672" s="118"/>
      <c r="D672" s="118"/>
      <c r="E672" s="129" t="s">
        <v>406</v>
      </c>
      <c r="F672" s="57"/>
      <c r="G672" s="128">
        <v>1.1</v>
      </c>
      <c r="H672" s="128">
        <v>4.48</v>
      </c>
      <c r="I672" s="128">
        <v>0.06</v>
      </c>
      <c r="J672" s="128"/>
      <c r="K672" s="128">
        <f>G672*H672*I672</f>
        <v>0.29568000000000005</v>
      </c>
    </row>
    <row r="673" spans="2:11" ht="15">
      <c r="B673" s="118"/>
      <c r="C673" s="118"/>
      <c r="D673" s="118"/>
      <c r="E673" s="129" t="s">
        <v>407</v>
      </c>
      <c r="F673" s="57"/>
      <c r="G673" s="128">
        <v>1.1</v>
      </c>
      <c r="H673" s="128">
        <v>1.5</v>
      </c>
      <c r="I673" s="128">
        <v>0.06</v>
      </c>
      <c r="J673" s="128"/>
      <c r="K673" s="128">
        <f>G673*H673*I673</f>
        <v>0.099</v>
      </c>
    </row>
    <row r="674" spans="2:11" ht="15">
      <c r="B674" s="118"/>
      <c r="C674" s="118"/>
      <c r="D674" s="118"/>
      <c r="E674" s="129" t="s">
        <v>408</v>
      </c>
      <c r="F674" s="57"/>
      <c r="G674" s="128">
        <v>1.1</v>
      </c>
      <c r="H674" s="128">
        <v>4.48</v>
      </c>
      <c r="I674" s="128">
        <v>0.06</v>
      </c>
      <c r="J674" s="128"/>
      <c r="K674" s="128">
        <f>G674*H674*I674</f>
        <v>0.29568000000000005</v>
      </c>
    </row>
    <row r="675" spans="2:11" ht="15">
      <c r="B675" s="118"/>
      <c r="C675" s="118"/>
      <c r="D675" s="118"/>
      <c r="E675" s="129" t="s">
        <v>409</v>
      </c>
      <c r="F675" s="57"/>
      <c r="G675" s="128">
        <v>0.9</v>
      </c>
      <c r="H675" s="128">
        <v>3.1</v>
      </c>
      <c r="I675" s="128">
        <v>0.06</v>
      </c>
      <c r="J675" s="128"/>
      <c r="K675" s="128">
        <f>G675*H675*I675</f>
        <v>0.1674</v>
      </c>
    </row>
    <row r="676" spans="2:11" ht="15">
      <c r="B676" s="118"/>
      <c r="C676" s="118"/>
      <c r="D676" s="118"/>
      <c r="E676" s="56"/>
      <c r="F676" s="99"/>
      <c r="G676" s="100"/>
      <c r="H676" s="100"/>
      <c r="I676" s="128"/>
      <c r="J676" s="146"/>
      <c r="K676" s="130">
        <f>SUM(K671:K675)</f>
        <v>1.2399600000000002</v>
      </c>
    </row>
    <row r="677" spans="2:11" ht="15.75">
      <c r="B677" s="92" t="s">
        <v>120</v>
      </c>
      <c r="C677" s="132"/>
      <c r="D677" s="132"/>
      <c r="E677" s="93" t="s">
        <v>364</v>
      </c>
      <c r="F677" s="132"/>
      <c r="G677" s="132"/>
      <c r="H677" s="132"/>
      <c r="I677" s="132"/>
      <c r="J677" s="132"/>
      <c r="K677" s="132"/>
    </row>
    <row r="678" spans="2:11" ht="15.75">
      <c r="B678" s="118"/>
      <c r="C678" s="68" t="s">
        <v>20</v>
      </c>
      <c r="D678" s="68" t="s">
        <v>271</v>
      </c>
      <c r="E678" s="69" t="s">
        <v>272</v>
      </c>
      <c r="F678" s="99" t="s">
        <v>51</v>
      </c>
      <c r="G678" s="99"/>
      <c r="H678" s="125" t="s">
        <v>291</v>
      </c>
      <c r="I678" s="99"/>
      <c r="J678" s="99"/>
      <c r="K678" s="123" t="s">
        <v>290</v>
      </c>
    </row>
    <row r="679" spans="2:11" ht="15">
      <c r="B679" s="118"/>
      <c r="C679" s="118"/>
      <c r="D679" s="68"/>
      <c r="E679" s="69"/>
      <c r="F679" s="99"/>
      <c r="G679" s="99"/>
      <c r="H679" s="99">
        <v>10</v>
      </c>
      <c r="I679" s="99"/>
      <c r="J679" s="99"/>
      <c r="K679" s="251">
        <f>H679</f>
        <v>10</v>
      </c>
    </row>
    <row r="680" spans="2:11" ht="30">
      <c r="B680" s="118"/>
      <c r="C680" s="68" t="s">
        <v>20</v>
      </c>
      <c r="D680" s="147" t="s">
        <v>365</v>
      </c>
      <c r="E680" s="148" t="s">
        <v>393</v>
      </c>
      <c r="F680" s="68" t="s">
        <v>275</v>
      </c>
      <c r="G680" s="99"/>
      <c r="H680" s="99"/>
      <c r="I680" s="96" t="s">
        <v>8</v>
      </c>
      <c r="J680" s="99"/>
      <c r="K680" s="123" t="s">
        <v>290</v>
      </c>
    </row>
    <row r="681" spans="2:11" ht="15.75">
      <c r="B681" s="118"/>
      <c r="C681" s="118"/>
      <c r="D681" s="147"/>
      <c r="E681" s="148"/>
      <c r="F681" s="99"/>
      <c r="G681" s="99"/>
      <c r="H681" s="99"/>
      <c r="I681" s="96">
        <v>1</v>
      </c>
      <c r="J681" s="99"/>
      <c r="K681" s="251">
        <f>I681</f>
        <v>1</v>
      </c>
    </row>
    <row r="682" spans="2:11" ht="15.75">
      <c r="B682" s="118"/>
      <c r="C682" s="68" t="s">
        <v>20</v>
      </c>
      <c r="D682" s="68">
        <v>95675</v>
      </c>
      <c r="E682" s="69" t="s">
        <v>277</v>
      </c>
      <c r="F682" s="68" t="s">
        <v>275</v>
      </c>
      <c r="G682" s="99"/>
      <c r="H682" s="99"/>
      <c r="I682" s="96" t="s">
        <v>8</v>
      </c>
      <c r="J682" s="99"/>
      <c r="K682" s="123" t="s">
        <v>290</v>
      </c>
    </row>
    <row r="683" spans="2:11" ht="15">
      <c r="B683" s="118"/>
      <c r="C683" s="118"/>
      <c r="D683" s="68"/>
      <c r="E683" s="69"/>
      <c r="F683" s="99"/>
      <c r="G683" s="99"/>
      <c r="H683" s="99"/>
      <c r="I683" s="99">
        <v>1</v>
      </c>
      <c r="J683" s="99"/>
      <c r="K683" s="251">
        <f>I683</f>
        <v>1</v>
      </c>
    </row>
    <row r="684" spans="2:11" ht="15.75">
      <c r="B684" s="118"/>
      <c r="C684" s="68" t="s">
        <v>20</v>
      </c>
      <c r="D684" s="68" t="s">
        <v>392</v>
      </c>
      <c r="E684" s="141" t="s">
        <v>391</v>
      </c>
      <c r="F684" s="99" t="s">
        <v>51</v>
      </c>
      <c r="G684" s="99"/>
      <c r="H684" s="125" t="s">
        <v>291</v>
      </c>
      <c r="I684" s="99"/>
      <c r="J684" s="99"/>
      <c r="K684" s="123" t="s">
        <v>290</v>
      </c>
    </row>
    <row r="685" spans="2:11" ht="15">
      <c r="B685" s="118"/>
      <c r="C685" s="118"/>
      <c r="D685" s="68"/>
      <c r="E685" s="69"/>
      <c r="F685" s="99"/>
      <c r="G685" s="99"/>
      <c r="H685" s="99">
        <v>10</v>
      </c>
      <c r="I685" s="99"/>
      <c r="J685" s="99"/>
      <c r="K685" s="251">
        <f>H685</f>
        <v>10</v>
      </c>
    </row>
    <row r="686" spans="2:11" ht="15.75">
      <c r="B686" s="92" t="s">
        <v>120</v>
      </c>
      <c r="C686" s="132"/>
      <c r="D686" s="132"/>
      <c r="E686" s="93" t="s">
        <v>366</v>
      </c>
      <c r="F686" s="132"/>
      <c r="G686" s="132"/>
      <c r="H686" s="132"/>
      <c r="I686" s="132"/>
      <c r="J686" s="132"/>
      <c r="K686" s="132"/>
    </row>
    <row r="687" spans="2:11" ht="30">
      <c r="B687" s="118"/>
      <c r="C687" s="68" t="s">
        <v>20</v>
      </c>
      <c r="D687" s="57" t="s">
        <v>115</v>
      </c>
      <c r="E687" s="127" t="s">
        <v>116</v>
      </c>
      <c r="F687" s="123" t="s">
        <v>23</v>
      </c>
      <c r="G687" s="123"/>
      <c r="H687" s="125" t="s">
        <v>291</v>
      </c>
      <c r="I687" s="123" t="s">
        <v>292</v>
      </c>
      <c r="J687" s="123"/>
      <c r="K687" s="126" t="s">
        <v>290</v>
      </c>
    </row>
    <row r="688" spans="2:11" ht="15">
      <c r="B688" s="118"/>
      <c r="C688" s="118"/>
      <c r="D688" s="57"/>
      <c r="E688" s="127" t="s">
        <v>410</v>
      </c>
      <c r="F688" s="99"/>
      <c r="G688" s="99"/>
      <c r="H688" s="99">
        <v>18.3</v>
      </c>
      <c r="I688" s="99">
        <v>1.4</v>
      </c>
      <c r="J688" s="99"/>
      <c r="K688" s="99">
        <f>H688*I688</f>
        <v>25.62</v>
      </c>
    </row>
    <row r="689" spans="2:11" ht="15">
      <c r="B689" s="118"/>
      <c r="C689" s="118"/>
      <c r="D689" s="57"/>
      <c r="E689" s="127" t="s">
        <v>411</v>
      </c>
      <c r="F689" s="99"/>
      <c r="G689" s="99"/>
      <c r="H689" s="99">
        <v>34.2</v>
      </c>
      <c r="I689" s="99">
        <v>1.4</v>
      </c>
      <c r="J689" s="99"/>
      <c r="K689" s="99">
        <f>H689*I689</f>
        <v>47.88</v>
      </c>
    </row>
    <row r="690" spans="2:11" ht="15">
      <c r="B690" s="118"/>
      <c r="C690" s="118"/>
      <c r="D690" s="57"/>
      <c r="E690" s="127"/>
      <c r="F690" s="99"/>
      <c r="G690" s="99"/>
      <c r="H690" s="99"/>
      <c r="I690" s="99"/>
      <c r="J690" s="99"/>
      <c r="K690" s="251">
        <f>SUM(K688:K689)</f>
        <v>73.5</v>
      </c>
    </row>
    <row r="691" spans="2:11" ht="15.75">
      <c r="B691" s="118"/>
      <c r="C691" s="68" t="s">
        <v>20</v>
      </c>
      <c r="D691" s="57" t="s">
        <v>282</v>
      </c>
      <c r="E691" s="129" t="s">
        <v>283</v>
      </c>
      <c r="F691" s="123" t="s">
        <v>23</v>
      </c>
      <c r="G691" s="123"/>
      <c r="H691" s="125" t="s">
        <v>291</v>
      </c>
      <c r="I691" s="123" t="s">
        <v>292</v>
      </c>
      <c r="J691" s="123"/>
      <c r="K691" s="126" t="s">
        <v>290</v>
      </c>
    </row>
    <row r="692" spans="2:11" ht="15">
      <c r="B692" s="118"/>
      <c r="C692" s="118"/>
      <c r="D692" s="57"/>
      <c r="E692" s="129"/>
      <c r="F692" s="99"/>
      <c r="G692" s="99"/>
      <c r="H692" s="99">
        <v>2</v>
      </c>
      <c r="I692" s="99">
        <v>1.4</v>
      </c>
      <c r="J692" s="99"/>
      <c r="K692" s="251">
        <f>H692*I692</f>
        <v>2.8</v>
      </c>
    </row>
    <row r="693" spans="2:11" ht="15.75">
      <c r="B693" s="118"/>
      <c r="C693" s="68" t="s">
        <v>20</v>
      </c>
      <c r="D693" s="57" t="s">
        <v>285</v>
      </c>
      <c r="E693" s="129" t="s">
        <v>286</v>
      </c>
      <c r="F693" s="123" t="s">
        <v>23</v>
      </c>
      <c r="G693" s="125" t="s">
        <v>295</v>
      </c>
      <c r="H693" s="125" t="s">
        <v>291</v>
      </c>
      <c r="I693" s="123"/>
      <c r="J693" s="123"/>
      <c r="K693" s="126" t="s">
        <v>290</v>
      </c>
    </row>
    <row r="694" spans="2:11" ht="15">
      <c r="B694" s="118"/>
      <c r="C694" s="118"/>
      <c r="D694" s="118"/>
      <c r="E694" s="118"/>
      <c r="F694" s="99"/>
      <c r="G694" s="99">
        <v>5</v>
      </c>
      <c r="H694" s="99">
        <v>18.3</v>
      </c>
      <c r="I694" s="99"/>
      <c r="J694" s="99"/>
      <c r="K694" s="251">
        <f>G694*H694</f>
        <v>91.5</v>
      </c>
    </row>
    <row r="695" spans="2:11" ht="30">
      <c r="B695" s="118"/>
      <c r="C695" s="68" t="s">
        <v>20</v>
      </c>
      <c r="D695" s="57" t="s">
        <v>400</v>
      </c>
      <c r="E695" s="127" t="s">
        <v>401</v>
      </c>
      <c r="F695" s="123" t="s">
        <v>23</v>
      </c>
      <c r="G695" s="125"/>
      <c r="H695" s="125" t="s">
        <v>291</v>
      </c>
      <c r="I695" s="123" t="s">
        <v>292</v>
      </c>
      <c r="J695" s="123"/>
      <c r="K695" s="126" t="s">
        <v>290</v>
      </c>
    </row>
    <row r="696" spans="2:11" ht="15">
      <c r="B696" s="118"/>
      <c r="C696" s="118"/>
      <c r="D696" s="118"/>
      <c r="E696" s="118"/>
      <c r="F696" s="99"/>
      <c r="G696" s="99"/>
      <c r="H696" s="99">
        <v>18.3</v>
      </c>
      <c r="I696" s="99">
        <v>2.2</v>
      </c>
      <c r="J696" s="99"/>
      <c r="K696" s="251">
        <f>H696*I696</f>
        <v>40.260000000000005</v>
      </c>
    </row>
    <row r="697" spans="2:11" ht="15.75">
      <c r="B697" s="118"/>
      <c r="C697" s="68" t="s">
        <v>20</v>
      </c>
      <c r="D697" s="57" t="s">
        <v>412</v>
      </c>
      <c r="E697" s="127" t="s">
        <v>413</v>
      </c>
      <c r="F697" s="68" t="s">
        <v>23</v>
      </c>
      <c r="G697" s="99"/>
      <c r="H697" s="125" t="s">
        <v>291</v>
      </c>
      <c r="I697" s="123" t="s">
        <v>292</v>
      </c>
      <c r="J697" s="123" t="s">
        <v>303</v>
      </c>
      <c r="K697" s="126" t="s">
        <v>290</v>
      </c>
    </row>
    <row r="698" spans="2:11" ht="15">
      <c r="B698" s="118"/>
      <c r="C698" s="118"/>
      <c r="D698" s="118"/>
      <c r="E698" s="118"/>
      <c r="F698" s="99"/>
      <c r="G698" s="99"/>
      <c r="H698" s="99">
        <v>18.3</v>
      </c>
      <c r="I698" s="99">
        <v>2.2</v>
      </c>
      <c r="J698" s="99">
        <v>2</v>
      </c>
      <c r="K698" s="251">
        <f>H698*I698*J698</f>
        <v>80.52000000000001</v>
      </c>
    </row>
  </sheetData>
  <sheetProtection selectLockedCells="1" selectUnlockedCells="1"/>
  <mergeCells count="5">
    <mergeCell ref="B153:K154"/>
    <mergeCell ref="B275:K276"/>
    <mergeCell ref="B397:K398"/>
    <mergeCell ref="B518:K519"/>
    <mergeCell ref="B637:K638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="70" zoomScaleNormal="70" zoomScalePageLayoutView="0" workbookViewId="0" topLeftCell="A1">
      <selection activeCell="C43" sqref="C43"/>
    </sheetView>
  </sheetViews>
  <sheetFormatPr defaultColWidth="9.140625" defaultRowHeight="12.75"/>
  <cols>
    <col min="1" max="1" width="12.8515625" style="0" customWidth="1"/>
    <col min="2" max="2" width="10.00390625" style="0" customWidth="1"/>
    <col min="3" max="3" width="84.00390625" style="0" customWidth="1"/>
    <col min="4" max="4" width="9.421875" style="0" customWidth="1"/>
    <col min="5" max="5" width="13.7109375" style="0" customWidth="1"/>
    <col min="6" max="6" width="18.421875" style="0" customWidth="1"/>
    <col min="7" max="7" width="75.421875" style="0" customWidth="1"/>
  </cols>
  <sheetData>
    <row r="1" spans="1:7" ht="18">
      <c r="A1" s="40"/>
      <c r="B1" s="40"/>
      <c r="C1" s="40"/>
      <c r="D1" s="40"/>
      <c r="E1" s="40"/>
      <c r="F1" s="40"/>
      <c r="G1" s="40"/>
    </row>
    <row r="2" spans="1:7" ht="78.75" customHeight="1">
      <c r="A2" s="40"/>
      <c r="B2" s="40"/>
      <c r="C2" s="40"/>
      <c r="D2" s="40"/>
      <c r="E2" s="40"/>
      <c r="F2" s="40"/>
      <c r="G2" s="40"/>
    </row>
    <row r="3" spans="1:7" ht="18">
      <c r="A3" s="40"/>
      <c r="B3" s="40"/>
      <c r="C3" s="40"/>
      <c r="D3" s="40"/>
      <c r="E3" s="40"/>
      <c r="F3" s="40"/>
      <c r="G3" s="40"/>
    </row>
    <row r="4" spans="1:7" ht="18">
      <c r="A4" s="41" t="s">
        <v>0</v>
      </c>
      <c r="B4" s="42"/>
      <c r="C4" s="43"/>
      <c r="D4" s="6"/>
      <c r="E4" s="44"/>
      <c r="F4" s="44"/>
      <c r="G4" s="45" t="s">
        <v>419</v>
      </c>
    </row>
    <row r="5" spans="1:7" ht="18">
      <c r="A5" s="46" t="s">
        <v>1</v>
      </c>
      <c r="B5" s="42"/>
      <c r="C5" s="43"/>
      <c r="D5" s="6"/>
      <c r="E5" s="44"/>
      <c r="F5" s="44"/>
      <c r="G5" s="47" t="s">
        <v>367</v>
      </c>
    </row>
    <row r="6" spans="1:7" ht="18">
      <c r="A6" s="48"/>
      <c r="B6" s="48"/>
      <c r="C6" s="48"/>
      <c r="D6" s="48"/>
      <c r="E6" s="48"/>
      <c r="F6" s="48"/>
      <c r="G6" s="48"/>
    </row>
    <row r="7" spans="1:7" ht="18" customHeight="1">
      <c r="A7" s="316" t="s">
        <v>368</v>
      </c>
      <c r="B7" s="316"/>
      <c r="C7" s="316"/>
      <c r="D7" s="316"/>
      <c r="E7" s="316"/>
      <c r="F7" s="316"/>
      <c r="G7" s="316"/>
    </row>
    <row r="8" spans="1:7" ht="36">
      <c r="A8" s="49" t="s">
        <v>4</v>
      </c>
      <c r="B8" s="49" t="s">
        <v>369</v>
      </c>
      <c r="C8" s="49" t="s">
        <v>370</v>
      </c>
      <c r="D8" s="50" t="s">
        <v>371</v>
      </c>
      <c r="E8" s="50" t="s">
        <v>372</v>
      </c>
      <c r="F8" s="49" t="s">
        <v>373</v>
      </c>
      <c r="G8" s="49" t="s">
        <v>374</v>
      </c>
    </row>
    <row r="9" spans="1:7" ht="18" customHeight="1">
      <c r="A9" s="49" t="s">
        <v>375</v>
      </c>
      <c r="B9" s="317" t="s">
        <v>376</v>
      </c>
      <c r="C9" s="317"/>
      <c r="D9" s="317"/>
      <c r="E9" s="317"/>
      <c r="F9" s="317"/>
      <c r="G9" s="317"/>
    </row>
    <row r="10" spans="1:7" ht="54">
      <c r="A10" s="15" t="s">
        <v>14</v>
      </c>
      <c r="B10" s="15" t="s">
        <v>377</v>
      </c>
      <c r="C10" s="16" t="s">
        <v>378</v>
      </c>
      <c r="D10" s="15" t="s">
        <v>379</v>
      </c>
      <c r="E10" s="15">
        <v>16</v>
      </c>
      <c r="F10" s="269">
        <v>107.16</v>
      </c>
      <c r="G10" s="51">
        <f>E10*F10</f>
        <v>1714.56</v>
      </c>
    </row>
    <row r="11" spans="1:7" ht="54">
      <c r="A11" s="15" t="s">
        <v>380</v>
      </c>
      <c r="B11" s="15" t="s">
        <v>381</v>
      </c>
      <c r="C11" s="16" t="s">
        <v>382</v>
      </c>
      <c r="D11" s="15" t="s">
        <v>379</v>
      </c>
      <c r="E11" s="15">
        <v>160</v>
      </c>
      <c r="F11" s="269">
        <v>33.27</v>
      </c>
      <c r="G11" s="51">
        <f>E11*F11</f>
        <v>5323.200000000001</v>
      </c>
    </row>
    <row r="12" spans="1:7" ht="18">
      <c r="A12" s="44"/>
      <c r="B12" s="44"/>
      <c r="C12" s="44"/>
      <c r="D12" s="318" t="s">
        <v>290</v>
      </c>
      <c r="E12" s="318"/>
      <c r="F12" s="318"/>
      <c r="G12" s="52">
        <f>G11+G10</f>
        <v>7037.76</v>
      </c>
    </row>
    <row r="13" spans="1:7" ht="18">
      <c r="A13" s="44"/>
      <c r="B13" s="44"/>
      <c r="C13" s="44"/>
      <c r="D13" s="53"/>
      <c r="E13" s="53"/>
      <c r="F13" s="53"/>
      <c r="G13" s="54"/>
    </row>
    <row r="14" spans="1:7" ht="18">
      <c r="A14" s="319" t="s">
        <v>383</v>
      </c>
      <c r="B14" s="319"/>
      <c r="C14" s="319"/>
      <c r="D14" s="319"/>
      <c r="E14" s="319"/>
      <c r="F14" s="319"/>
      <c r="G14" s="319"/>
    </row>
    <row r="15" spans="1:7" ht="18">
      <c r="A15" s="319" t="s">
        <v>384</v>
      </c>
      <c r="B15" s="319"/>
      <c r="C15" s="319"/>
      <c r="D15" s="319"/>
      <c r="E15" s="319"/>
      <c r="F15" s="319"/>
      <c r="G15" s="319"/>
    </row>
    <row r="16" spans="1:7" ht="18">
      <c r="A16" s="40"/>
      <c r="B16" s="40"/>
      <c r="C16" s="40"/>
      <c r="D16" s="40"/>
      <c r="E16" s="40"/>
      <c r="F16" s="40"/>
      <c r="G16" s="40"/>
    </row>
    <row r="17" spans="1:7" ht="18">
      <c r="A17" s="40"/>
      <c r="B17" s="40"/>
      <c r="C17" s="40"/>
      <c r="D17" s="40"/>
      <c r="E17" s="40"/>
      <c r="F17" s="40"/>
      <c r="G17" s="40"/>
    </row>
    <row r="18" spans="1:7" ht="18">
      <c r="A18" s="320" t="s">
        <v>288</v>
      </c>
      <c r="B18" s="320"/>
      <c r="C18" s="320"/>
      <c r="D18" s="320"/>
      <c r="E18" s="320"/>
      <c r="F18" s="320"/>
      <c r="G18" s="320"/>
    </row>
    <row r="19" spans="1:7" ht="18">
      <c r="A19" s="40"/>
      <c r="B19" s="40"/>
      <c r="C19" s="40"/>
      <c r="D19" s="40"/>
      <c r="E19" s="40"/>
      <c r="F19" s="40"/>
      <c r="G19" s="40"/>
    </row>
  </sheetData>
  <sheetProtection selectLockedCells="1" selectUnlockedCells="1"/>
  <mergeCells count="6">
    <mergeCell ref="A7:G7"/>
    <mergeCell ref="B9:G9"/>
    <mergeCell ref="D12:F12"/>
    <mergeCell ref="A14:G14"/>
    <mergeCell ref="A15:G15"/>
    <mergeCell ref="A18:G18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Soiurb</dc:creator>
  <cp:keywords/>
  <dc:description/>
  <cp:lastModifiedBy>Soiurb</cp:lastModifiedBy>
  <cp:lastPrinted>2022-08-18T19:44:02Z</cp:lastPrinted>
  <dcterms:created xsi:type="dcterms:W3CDTF">2022-10-06T16:12:52Z</dcterms:created>
  <dcterms:modified xsi:type="dcterms:W3CDTF">2022-10-06T16:18:12Z</dcterms:modified>
  <cp:category/>
  <cp:version/>
  <cp:contentType/>
  <cp:contentStatus/>
</cp:coreProperties>
</file>